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61" i="12"/>
  <c r="F39" i="1" s="1"/>
  <c r="AD61" i="12"/>
  <c r="G39" i="1" s="1"/>
  <c r="G8" i="12"/>
  <c r="K8" i="12"/>
  <c r="H49" i="1" s="1"/>
  <c r="U8" i="12"/>
  <c r="I9" i="12"/>
  <c r="I8" i="12"/>
  <c r="G49" i="1" s="1"/>
  <c r="K9" i="12"/>
  <c r="M9" i="12"/>
  <c r="M8" i="12" s="1"/>
  <c r="O9" i="12"/>
  <c r="O8" i="12" s="1"/>
  <c r="Q9" i="12"/>
  <c r="Q8" i="12" s="1"/>
  <c r="U9" i="12"/>
  <c r="G10" i="12"/>
  <c r="K10" i="12"/>
  <c r="H50" i="1" s="1"/>
  <c r="I11" i="12"/>
  <c r="I10" i="12" s="1"/>
  <c r="G50" i="1" s="1"/>
  <c r="K11" i="12"/>
  <c r="M11" i="12"/>
  <c r="M10" i="12"/>
  <c r="O11" i="12"/>
  <c r="O10" i="12" s="1"/>
  <c r="Q11" i="12"/>
  <c r="Q10" i="12" s="1"/>
  <c r="U11" i="12"/>
  <c r="U10" i="12" s="1"/>
  <c r="I13" i="12"/>
  <c r="I12" i="12" s="1"/>
  <c r="G51" i="1" s="1"/>
  <c r="K13" i="12"/>
  <c r="M13" i="12"/>
  <c r="O13" i="12"/>
  <c r="O12" i="12" s="1"/>
  <c r="Q13" i="12"/>
  <c r="Q12" i="12" s="1"/>
  <c r="U13" i="12"/>
  <c r="U12" i="12" s="1"/>
  <c r="G12" i="12"/>
  <c r="I14" i="12"/>
  <c r="K14" i="12"/>
  <c r="K12" i="12"/>
  <c r="H51" i="1" s="1"/>
  <c r="O14" i="12"/>
  <c r="Q14" i="12"/>
  <c r="U14" i="12"/>
  <c r="I15" i="12"/>
  <c r="K15" i="12"/>
  <c r="M15" i="12"/>
  <c r="O15" i="12"/>
  <c r="Q15" i="12"/>
  <c r="U15" i="12"/>
  <c r="M16" i="12"/>
  <c r="I16" i="12"/>
  <c r="K16" i="12"/>
  <c r="O16" i="12"/>
  <c r="Q16" i="12"/>
  <c r="U16" i="12"/>
  <c r="G17" i="12"/>
  <c r="I18" i="12"/>
  <c r="I17" i="12" s="1"/>
  <c r="G52" i="1" s="1"/>
  <c r="K18" i="12"/>
  <c r="K17" i="12" s="1"/>
  <c r="H52" i="1" s="1"/>
  <c r="G17" i="1" s="1"/>
  <c r="O18" i="12"/>
  <c r="O17" i="12" s="1"/>
  <c r="Q18" i="12"/>
  <c r="Q17" i="12" s="1"/>
  <c r="U18" i="12"/>
  <c r="U17" i="12"/>
  <c r="G19" i="12"/>
  <c r="I20" i="12"/>
  <c r="I19" i="12" s="1"/>
  <c r="G53" i="1" s="1"/>
  <c r="K20" i="12"/>
  <c r="K19" i="12" s="1"/>
  <c r="H53" i="1" s="1"/>
  <c r="M20" i="12"/>
  <c r="O20" i="12"/>
  <c r="O19" i="12" s="1"/>
  <c r="Q20" i="12"/>
  <c r="U20" i="12"/>
  <c r="U19" i="12" s="1"/>
  <c r="I21" i="12"/>
  <c r="K21" i="12"/>
  <c r="M21" i="12"/>
  <c r="M19" i="12" s="1"/>
  <c r="O21" i="12"/>
  <c r="Q21" i="12"/>
  <c r="U21" i="12"/>
  <c r="I22" i="12"/>
  <c r="K22" i="12"/>
  <c r="M22" i="12"/>
  <c r="O22" i="12"/>
  <c r="Q22" i="12"/>
  <c r="Q19" i="12" s="1"/>
  <c r="U22" i="12"/>
  <c r="I24" i="12"/>
  <c r="K24" i="12"/>
  <c r="K23" i="12" s="1"/>
  <c r="H54" i="1" s="1"/>
  <c r="M24" i="12"/>
  <c r="O24" i="12"/>
  <c r="Q24" i="12"/>
  <c r="U24" i="12"/>
  <c r="U23" i="12" s="1"/>
  <c r="M25" i="12"/>
  <c r="I25" i="12"/>
  <c r="I23" i="12" s="1"/>
  <c r="G54" i="1" s="1"/>
  <c r="K25" i="12"/>
  <c r="O25" i="12"/>
  <c r="O23" i="12"/>
  <c r="Q25" i="12"/>
  <c r="Q23" i="12" s="1"/>
  <c r="U25" i="12"/>
  <c r="I26" i="12"/>
  <c r="K26" i="12"/>
  <c r="M26" i="12"/>
  <c r="O26" i="12"/>
  <c r="Q26" i="12"/>
  <c r="U26" i="12"/>
  <c r="I28" i="12"/>
  <c r="I27" i="12" s="1"/>
  <c r="G55" i="1" s="1"/>
  <c r="K28" i="12"/>
  <c r="M28" i="12"/>
  <c r="O28" i="12"/>
  <c r="O27" i="12" s="1"/>
  <c r="Q28" i="12"/>
  <c r="U28" i="12"/>
  <c r="U27" i="12" s="1"/>
  <c r="M29" i="12"/>
  <c r="I29" i="12"/>
  <c r="K29" i="12"/>
  <c r="K27" i="12"/>
  <c r="H55" i="1" s="1"/>
  <c r="O29" i="12"/>
  <c r="Q29" i="12"/>
  <c r="Q27" i="12" s="1"/>
  <c r="U29" i="12"/>
  <c r="I30" i="12"/>
  <c r="K30" i="12"/>
  <c r="M30" i="12"/>
  <c r="O30" i="12"/>
  <c r="Q30" i="12"/>
  <c r="U30" i="12"/>
  <c r="M31" i="12"/>
  <c r="I31" i="12"/>
  <c r="K31" i="12"/>
  <c r="O31" i="12"/>
  <c r="Q31" i="12"/>
  <c r="U31" i="12"/>
  <c r="I32" i="12"/>
  <c r="K32" i="12"/>
  <c r="M32" i="12"/>
  <c r="O32" i="12"/>
  <c r="Q32" i="12"/>
  <c r="U32" i="12"/>
  <c r="M33" i="12"/>
  <c r="I33" i="12"/>
  <c r="K33" i="12"/>
  <c r="O33" i="12"/>
  <c r="Q33" i="12"/>
  <c r="U33" i="12"/>
  <c r="I34" i="12"/>
  <c r="K34" i="12"/>
  <c r="M34" i="12"/>
  <c r="O34" i="12"/>
  <c r="Q34" i="12"/>
  <c r="U34" i="12"/>
  <c r="M35" i="12"/>
  <c r="I35" i="12"/>
  <c r="K35" i="12"/>
  <c r="O35" i="12"/>
  <c r="Q35" i="12"/>
  <c r="U35" i="12"/>
  <c r="I36" i="12"/>
  <c r="K36" i="12"/>
  <c r="M36" i="12"/>
  <c r="O36" i="12"/>
  <c r="Q36" i="12"/>
  <c r="U36" i="12"/>
  <c r="M37" i="12"/>
  <c r="I37" i="12"/>
  <c r="K37" i="12"/>
  <c r="O37" i="12"/>
  <c r="Q37" i="12"/>
  <c r="U37" i="12"/>
  <c r="G38" i="12"/>
  <c r="I39" i="12"/>
  <c r="K39" i="12"/>
  <c r="K38" i="12" s="1"/>
  <c r="H56" i="1" s="1"/>
  <c r="O39" i="12"/>
  <c r="Q39" i="12"/>
  <c r="Q38" i="12" s="1"/>
  <c r="U39" i="12"/>
  <c r="U38" i="12" s="1"/>
  <c r="I40" i="12"/>
  <c r="K40" i="12"/>
  <c r="M40" i="12"/>
  <c r="O40" i="12"/>
  <c r="O38" i="12" s="1"/>
  <c r="Q40" i="12"/>
  <c r="U40" i="12"/>
  <c r="M41" i="12"/>
  <c r="I41" i="12"/>
  <c r="I38" i="12" s="1"/>
  <c r="G56" i="1" s="1"/>
  <c r="K41" i="12"/>
  <c r="O41" i="12"/>
  <c r="Q41" i="12"/>
  <c r="U41" i="12"/>
  <c r="I42" i="12"/>
  <c r="K42" i="12"/>
  <c r="M42" i="12"/>
  <c r="O42" i="12"/>
  <c r="Q42" i="12"/>
  <c r="U42" i="12"/>
  <c r="M43" i="12"/>
  <c r="I43" i="12"/>
  <c r="K43" i="12"/>
  <c r="O43" i="12"/>
  <c r="Q43" i="12"/>
  <c r="U43" i="12"/>
  <c r="I44" i="12"/>
  <c r="K44" i="12"/>
  <c r="M44" i="12"/>
  <c r="O44" i="12"/>
  <c r="Q44" i="12"/>
  <c r="U44" i="12"/>
  <c r="M45" i="12"/>
  <c r="I45" i="12"/>
  <c r="K45" i="12"/>
  <c r="O45" i="12"/>
  <c r="Q45" i="12"/>
  <c r="U45" i="12"/>
  <c r="I46" i="12"/>
  <c r="K46" i="12"/>
  <c r="M46" i="12"/>
  <c r="O46" i="12"/>
  <c r="Q46" i="12"/>
  <c r="U46" i="12"/>
  <c r="M47" i="12"/>
  <c r="I47" i="12"/>
  <c r="K47" i="12"/>
  <c r="O47" i="12"/>
  <c r="Q47" i="12"/>
  <c r="U47" i="12"/>
  <c r="I48" i="12"/>
  <c r="K48" i="12"/>
  <c r="M48" i="12"/>
  <c r="O48" i="12"/>
  <c r="Q48" i="12"/>
  <c r="U48" i="12"/>
  <c r="M49" i="12"/>
  <c r="I49" i="12"/>
  <c r="K49" i="12"/>
  <c r="O49" i="12"/>
  <c r="Q49" i="12"/>
  <c r="U49" i="12"/>
  <c r="I50" i="12"/>
  <c r="K50" i="12"/>
  <c r="M50" i="12"/>
  <c r="O50" i="12"/>
  <c r="Q50" i="12"/>
  <c r="U50" i="12"/>
  <c r="M51" i="12"/>
  <c r="I51" i="12"/>
  <c r="K51" i="12"/>
  <c r="O51" i="12"/>
  <c r="Q51" i="12"/>
  <c r="U51" i="12"/>
  <c r="I52" i="12"/>
  <c r="K52" i="12"/>
  <c r="M52" i="12"/>
  <c r="O52" i="12"/>
  <c r="Q52" i="12"/>
  <c r="U52" i="12"/>
  <c r="M53" i="12"/>
  <c r="I53" i="12"/>
  <c r="K53" i="12"/>
  <c r="O53" i="12"/>
  <c r="Q53" i="12"/>
  <c r="U53" i="12"/>
  <c r="G54" i="12"/>
  <c r="I55" i="12"/>
  <c r="K55" i="12"/>
  <c r="O55" i="12"/>
  <c r="O54" i="12" s="1"/>
  <c r="Q55" i="12"/>
  <c r="U55" i="12"/>
  <c r="U54" i="12" s="1"/>
  <c r="I56" i="12"/>
  <c r="K56" i="12"/>
  <c r="K54" i="12" s="1"/>
  <c r="H57" i="1" s="1"/>
  <c r="M56" i="12"/>
  <c r="O56" i="12"/>
  <c r="Q56" i="12"/>
  <c r="Q54" i="12"/>
  <c r="U56" i="12"/>
  <c r="M57" i="12"/>
  <c r="I57" i="12"/>
  <c r="I54" i="12" s="1"/>
  <c r="G57" i="1" s="1"/>
  <c r="K57" i="12"/>
  <c r="O57" i="12"/>
  <c r="Q57" i="12"/>
  <c r="U57" i="12"/>
  <c r="I58" i="12"/>
  <c r="G58" i="1" s="1"/>
  <c r="E19" i="1" s="1"/>
  <c r="G58" i="12"/>
  <c r="I59" i="12"/>
  <c r="K59" i="12"/>
  <c r="K58" i="12" s="1"/>
  <c r="H58" i="1" s="1"/>
  <c r="G19" i="1" s="1"/>
  <c r="O59" i="12"/>
  <c r="O58" i="12"/>
  <c r="Q59" i="12"/>
  <c r="Q58" i="12" s="1"/>
  <c r="U59" i="12"/>
  <c r="U58" i="12" s="1"/>
  <c r="I20" i="1"/>
  <c r="G20" i="1"/>
  <c r="E20" i="1"/>
  <c r="I19" i="1"/>
  <c r="I18" i="1"/>
  <c r="G18" i="1"/>
  <c r="E18" i="1"/>
  <c r="I17" i="1"/>
  <c r="I16" i="1"/>
  <c r="I59" i="1"/>
  <c r="AZ43" i="1"/>
  <c r="G27" i="1"/>
  <c r="F40" i="1"/>
  <c r="G23" i="1"/>
  <c r="G24" i="1" s="1"/>
  <c r="G40" i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H39" i="1" l="1"/>
  <c r="I39" i="1"/>
  <c r="E17" i="1"/>
  <c r="H59" i="1"/>
  <c r="G16" i="1"/>
  <c r="G21" i="1" s="1"/>
  <c r="E16" i="1"/>
  <c r="E21" i="1" s="1"/>
  <c r="G59" i="1"/>
  <c r="G29" i="1"/>
  <c r="G28" i="1"/>
  <c r="M27" i="12"/>
  <c r="M23" i="12"/>
  <c r="G27" i="12"/>
  <c r="G23" i="12"/>
  <c r="G61" i="12" s="1"/>
  <c r="M18" i="12"/>
  <c r="M17" i="12" s="1"/>
  <c r="M14" i="12"/>
  <c r="M12" i="12"/>
  <c r="M59" i="12"/>
  <c r="M58" i="12" s="1"/>
  <c r="M55" i="12"/>
  <c r="M54" i="12"/>
  <c r="M39" i="12"/>
  <c r="M3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<sst xmlns="http://schemas.openxmlformats.org/spreadsheetml/2006/main" count="372" uniqueCount="209">
  <si>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</si>
  <si>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</si>
  <si>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</si>
  <si>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</si>
  <si>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</si>
  <si>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</si>
  <si>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</si>
  <si>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č.p.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</si>
  <si>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</si>
  <si>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</si>
  <si>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</si>
  <si>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</si>
  <si>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</si>
  <si>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</si>
  <si>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</si>
  <si>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</si>
  <si>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</si>
  <si>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</si>
  <si>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</si>
  <si>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</si>
  <si>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</si>
  <si>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</si>
  <si>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</si>
  <si>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</si>
  <si>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</si>
  <si>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</si>
  <si>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</si>
  <si>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</si>
  <si>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</si>
  <si>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</si>
  <si>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</si>
  <si>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</si>
  <si>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</si>
  <si>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</si>
  <si>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</si>
  <si>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</si>
  <si>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</si>
  <si>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</si>
  <si>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</si>
  <si>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</si>
  <si>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</si>
  <si>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</si>
  <si>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</si>
  <si>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</si>
  <si>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</si>
  <si>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</si>
  <si>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</si>
  <si>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</si>
  <si>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</si>
  <si>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</si>
  <si>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</si>
  <si>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</si>
  <si>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</si>
  <si>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</si>
  <si>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</si>
  <si>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</si>
  <si>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</si>
  <si>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</si>
  <si>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</si>
  <si>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</si>
  <si>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</si>
  <si>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</si>
  <si>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</si>
  <si>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D1.4.4 Ústřední vytápění, III. etapa</t>
  </si>
  <si>
    <t>Rekapitulace dílů</t>
  </si>
  <si>
    <t>Typ dílu</t>
  </si>
  <si>
    <t>3</t>
  </si>
  <si>
    <t>Svislé a kompletní konstrukce</t>
  </si>
  <si>
    <t>4</t>
  </si>
  <si>
    <t>Vodorovné konstrukce</t>
  </si>
  <si>
    <t>97</t>
  </si>
  <si>
    <t>Prorážení otvorů</t>
  </si>
  <si>
    <t>713</t>
  </si>
  <si>
    <t>Izolace tepelné</t>
  </si>
  <si>
    <t>722</t>
  </si>
  <si>
    <t>Vnitřní vodovod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</si>
  <si>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</si>
  <si>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</si>
  <si>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</si>
  <si>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</si>
  <si>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</si>
  <si>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</si>
  <si>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</si>
  <si>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</si>
  <si>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</si>
  <si>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</si>
  <si>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</si>
  <si>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</si>
  <si>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</si>
  <si>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</si>
  <si>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</si>
  <si>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</si>
  <si>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</si>
  <si>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</si>
  <si>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</si>
  <si>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</si>
  <si>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</si>
  <si>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</si>
  <si>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</si>
  <si>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</si>
  <si>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</si>
  <si>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</si>
  <si>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</si>
  <si>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</si>
  <si>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</si>
  <si>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</si>
  <si>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</si>
  <si>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</si>
  <si>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</si>
  <si>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</si>
  <si>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</si>
  <si>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</si>
  <si>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</si>
  <si>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</si>
  <si>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</si>
  <si>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</si>
  <si>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</si>
  <si>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</si>
  <si>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</si>
  <si>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411387531R00</t>
  </si>
  <si>
    <t>Zabetonování otvorů do 0,025 m2 ve stropech</t>
  </si>
  <si>
    <t>970051080R00</t>
  </si>
  <si>
    <t>Vrtání jádrové do ŽB do D 80 mm</t>
  </si>
  <si>
    <t>m</t>
  </si>
  <si>
    <t>971033131R00</t>
  </si>
  <si>
    <t>Vybourání otvorů zeď cihel. d=6 cm, tl. 15 cm, MVC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</si>
  <si>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</si>
  <si>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</si>
  <si>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</si>
  <si>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</si>
  <si>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</si>
  <si>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713531221R00</t>
  </si>
  <si>
    <t>Protipožární výplň spár ve stěně tl. do 150 mm</t>
  </si>
  <si>
    <t>722181214RT7</t>
  </si>
  <si>
    <t>Izolace návleková z pěněného PE, tl. stěny 20 mm, vnitřní průměr 22 mm</t>
  </si>
  <si>
    <t>722181214RT9</t>
  </si>
  <si>
    <t>Izolace návleková z pěněného PE, tl. stěny 20 mm, vnitřní průměr 28 mm</t>
  </si>
  <si>
    <t>722181214RU2</t>
  </si>
  <si>
    <t>Izolace návleková z pěněného PE, tl. stěny 20 mm, vnitřní průměr 35 mm</t>
  </si>
  <si>
    <t>733111103R00</t>
  </si>
  <si>
    <t>Potrubí závitové bezešvé běžné nízkotlaké DN 15</t>
  </si>
  <si>
    <t>733190108R00</t>
  </si>
  <si>
    <t>Tlaková zkouška potrubí  do DN 50</t>
  </si>
  <si>
    <t>998733101R00</t>
  </si>
  <si>
    <t>Přesun hmot pro rozvody potrubí, výšky do 6 m</t>
  </si>
  <si>
    <t>734209112R00</t>
  </si>
  <si>
    <t>Montáž armatur závitových,se 2závity, G 3/8</t>
  </si>
  <si>
    <t>734209113R00</t>
  </si>
  <si>
    <t>Montáž armatur závitových,se 2závity, G 1/2</t>
  </si>
  <si>
    <t>734209114R00</t>
  </si>
  <si>
    <t>Montáž armatur závitových,se 2závity, G 3/4</t>
  </si>
  <si>
    <t>734266222R00</t>
  </si>
  <si>
    <t>Šroubení reg.přímé,vnitř.z., DN 15, Kvs=1,48 m3/h, niklovaná mosaz</t>
  </si>
  <si>
    <t>5513730620R</t>
  </si>
  <si>
    <t>Hlavice termostatická Heimeier K pro veř. prostory</t>
  </si>
  <si>
    <t>POL3_0</t>
  </si>
  <si>
    <t>734291951R00</t>
  </si>
  <si>
    <t>Zpětná montáž hlavic ručního/termostat.ovládání</t>
  </si>
  <si>
    <t>998734101R00</t>
  </si>
  <si>
    <t>Přesun hmot pro armatury, výšky do 6 m</t>
  </si>
  <si>
    <t>734200822R00</t>
  </si>
  <si>
    <t>Demontáž armatur se 2závity do G 1</t>
  </si>
  <si>
    <t>734200811R00</t>
  </si>
  <si>
    <t>Demontáž termostatiických hlavic rad. armatur</t>
  </si>
  <si>
    <t>734890801R00</t>
  </si>
  <si>
    <t>Přemístění demontovaných hmot - armatur, H do 6 m</t>
  </si>
  <si>
    <t>735191904R00</t>
  </si>
  <si>
    <t>Propláchnutí otopných těles litinových</t>
  </si>
  <si>
    <t>m2</t>
  </si>
  <si>
    <t>735192911R00</t>
  </si>
  <si>
    <t>Zpětná montáž otop.těles článků litinových</t>
  </si>
  <si>
    <t>735192924R00</t>
  </si>
  <si>
    <t>Zpětná montáž otop.těles panel.2řadých,1600 mm</t>
  </si>
  <si>
    <t>735157268R00</t>
  </si>
  <si>
    <t>Otopná těl.panel. typ Ventil Kompakt 11VK 600/1200, PN 10, +110°C</t>
  </si>
  <si>
    <t>735157683R00</t>
  </si>
  <si>
    <t>Otopná těl.panel.typ Ventil Kompakt 22VK 900/700, PN 10, +110°C</t>
  </si>
  <si>
    <t>735191910R00</t>
  </si>
  <si>
    <t>Napuštění vody do otopného systému - bez kotle</t>
  </si>
  <si>
    <t>735191905R00</t>
  </si>
  <si>
    <t>Oprava - odvzdušnění otopných těles</t>
  </si>
  <si>
    <t>735191902R00</t>
  </si>
  <si>
    <t>Vyzkoušení otopných těles litinových tlakem</t>
  </si>
  <si>
    <t>735000912R00</t>
  </si>
  <si>
    <t>Oprava-vyregulování ventilů s termost.ovládáním</t>
  </si>
  <si>
    <t>735191901R00</t>
  </si>
  <si>
    <t>Vyzkoušení otopných těles ocelových tlakem</t>
  </si>
  <si>
    <t>998735101R00</t>
  </si>
  <si>
    <t>Přesun hmot pro otopná tělesa, výšky do 6 m</t>
  </si>
  <si>
    <t>735494811R00</t>
  </si>
  <si>
    <t>Vypuštění vody z otopných těles</t>
  </si>
  <si>
    <t>735111810R00</t>
  </si>
  <si>
    <t>Demontáž těles otopných litinových článkových</t>
  </si>
  <si>
    <t>735151822R00</t>
  </si>
  <si>
    <t>Demontáž otopných těles panelových 2řadých,1600 mm</t>
  </si>
  <si>
    <t>735890801R00</t>
  </si>
  <si>
    <t>Přemístění demont. hmot - otop. těles, H do 6 m</t>
  </si>
  <si>
    <t>783324140R00</t>
  </si>
  <si>
    <t>Nátěr syntetický litin. radiátorů 2x email, bílý, odstín 1000</t>
  </si>
  <si>
    <t>783424140R00</t>
  </si>
  <si>
    <t>Nátěr syntetický potrubí do DN 50 mm  2x email, bílý, odstín 1000</t>
  </si>
  <si>
    <t>783424740R00</t>
  </si>
  <si>
    <t>Nátěr syntetický potrubí do DN 50 mm základní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</si>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</sst>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2" fillId="3" borderId="3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1" fontId="6" fillId="0" borderId="10" xfId="0" applyNumberFormat="1" applyFont="1" applyBorder="1" applyAlignment="1">
      <alignment horizontal="right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4" fontId="8" fillId="0" borderId="16" xfId="0" applyNumberFormat="1" applyFont="1" applyBorder="1" applyAlignment="1">
      <alignment horizontal="right" vertical="center" indent="1"/>
    </xf>
    <xf numFmtId="2" fontId="9" fillId="3" borderId="2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12" t="s">
        <v>3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3">
      <c r="A2" s="4"/>
      <c r="B2" s="5" t="s">
        <v>4</v>
      </c>
      <c r="C2" s="6"/>
      <c r="D2" s="215" t="s">
        <v>5</v>
      </c>
      <c r="E2" s="216"/>
      <c r="F2" s="216"/>
      <c r="G2" s="216"/>
      <c r="H2" s="216"/>
      <c r="I2" s="216"/>
      <c r="J2" s="217"/>
      <c r="O2" s="7"/>
    </row>
    <row r="3" spans="1:15" ht="23.25" customHeight="1" x14ac:dyDescent="0.3">
      <c r="A3" s="4"/>
      <c r="B3" s="8" t="s">
        <v>6</v>
      </c>
      <c r="C3" s="9"/>
      <c r="D3" s="246" t="s">
        <v>7</v>
      </c>
      <c r="E3" s="247"/>
      <c r="F3" s="247"/>
      <c r="G3" s="247"/>
      <c r="H3" s="247"/>
      <c r="I3" s="247"/>
      <c r="J3" s="248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18" t="s">
        <v>20</v>
      </c>
      <c r="E11" s="218"/>
      <c r="F11" s="218"/>
      <c r="G11" s="218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44" t="s">
        <v>22</v>
      </c>
      <c r="E12" s="244"/>
      <c r="F12" s="244"/>
      <c r="G12" s="244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45" t="s">
        <v>25</v>
      </c>
      <c r="E13" s="245"/>
      <c r="F13" s="245"/>
      <c r="G13" s="245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19" t="s">
        <v>29</v>
      </c>
      <c r="F15" s="219"/>
      <c r="G15" s="242" t="s">
        <v>30</v>
      </c>
      <c r="H15" s="242"/>
      <c r="I15" s="242" t="s">
        <v>31</v>
      </c>
      <c r="J15" s="243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20">
        <f>SUMIF(F49:F58,A16,G49:G58)+SUMIF(F49:F58,"PSU",G49:G58)</f>
        <v>3667.79</v>
      </c>
      <c r="F16" s="222"/>
      <c r="G16" s="220">
        <f>SUMIF(F49:F58,A16,H49:H58)+SUMIF(F49:F58,"PSU",H49:H58)</f>
        <v>3542.04</v>
      </c>
      <c r="H16" s="222"/>
      <c r="I16" s="220">
        <f>SUMIF(F49:F58,A16,I49:I58)+SUMIF(F49:F58,"PSU",I49:I58)</f>
        <v>0</v>
      </c>
      <c r="J16" s="221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20">
        <f>SUMIF(F49:F58,A17,G49:G58)</f>
        <v>4307.57</v>
      </c>
      <c r="F17" s="222"/>
      <c r="G17" s="220">
        <f>SUMIF(F49:F58,A17,H49:H58)</f>
        <v>202946.45999999996</v>
      </c>
      <c r="H17" s="222"/>
      <c r="I17" s="220">
        <f>SUMIF(F49:F58,A17,I49:I58)</f>
        <v>0</v>
      </c>
      <c r="J17" s="221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20">
        <f>SUMIF(F49:F58,A18,G49:G58)</f>
        <v>0</v>
      </c>
      <c r="F18" s="222"/>
      <c r="G18" s="220">
        <f>SUMIF(F49:F58,A18,H49:H58)</f>
        <v>0</v>
      </c>
      <c r="H18" s="222"/>
      <c r="I18" s="220">
        <f>SUMIF(F49:F58,A18,I49:I58)</f>
        <v>0</v>
      </c>
      <c r="J18" s="221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20">
        <f>SUMIF(F49:F58,A19,G49:G58)</f>
        <v>0</v>
      </c>
      <c r="F19" s="222"/>
      <c r="G19" s="220">
        <f>SUMIF(F49:F58,A19,H49:H58)</f>
        <v>9100.7999999999993</v>
      </c>
      <c r="H19" s="222"/>
      <c r="I19" s="220">
        <f>SUMIF(F49:F58,A19,I49:I58)</f>
        <v>0</v>
      </c>
      <c r="J19" s="221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20">
        <f>SUMIF(F49:F58,A20,G49:G58)</f>
        <v>0</v>
      </c>
      <c r="F20" s="222"/>
      <c r="G20" s="220">
        <f>SUMIF(F49:F58,A20,H49:H58)</f>
        <v>0</v>
      </c>
      <c r="H20" s="222"/>
      <c r="I20" s="220">
        <f>SUMIF(F49:F58,A20,I49:I58)</f>
        <v>0</v>
      </c>
      <c r="J20" s="221"/>
    </row>
    <row r="21" spans="1:10" ht="23.25" customHeight="1" x14ac:dyDescent="0.3">
      <c r="A21" s="4"/>
      <c r="B21" s="52" t="s">
        <v>31</v>
      </c>
      <c r="C21" s="53"/>
      <c r="D21" s="54"/>
      <c r="E21" s="223">
        <f>SUM(E16:F20)</f>
        <v>7975.36</v>
      </c>
      <c r="F21" s="240"/>
      <c r="G21" s="223">
        <f>SUM(G16:H20)</f>
        <v>215589.29999999996</v>
      </c>
      <c r="H21" s="240"/>
      <c r="I21" s="223">
        <f>SUM(I16:J20)</f>
        <v>0</v>
      </c>
      <c r="J21" s="224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25">
        <f>ZakladDPHSniVypocet</f>
        <v>0</v>
      </c>
      <c r="H23" s="226"/>
      <c r="I23" s="226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27">
        <f>ZakladDPHSni*SazbaDPH1/100</f>
        <v>0</v>
      </c>
      <c r="H24" s="228"/>
      <c r="I24" s="228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25">
        <v>223565.05</v>
      </c>
      <c r="H25" s="226"/>
      <c r="I25" s="226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29">
        <f>ZakladDPHZakl*SazbaDPH2/100</f>
        <v>46948.660499999998</v>
      </c>
      <c r="H26" s="230"/>
      <c r="I26" s="230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31">
        <f>0</f>
        <v>0</v>
      </c>
      <c r="H27" s="231"/>
      <c r="I27" s="231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41">
        <f>ZakladDPHSniVypocet+ZakladDPHZaklVypocet</f>
        <v>0</v>
      </c>
      <c r="H28" s="241"/>
      <c r="I28" s="241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32">
        <f>ZakladDPHSni+DPHSni+ZakladDPHZakl+DPHZakl+Zaokrouhleni</f>
        <v>270513.71049999999</v>
      </c>
      <c r="H29" s="232"/>
      <c r="I29" s="232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44287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33" t="s">
        <v>52</v>
      </c>
      <c r="E35" s="233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4" t="s">
        <v>5</v>
      </c>
      <c r="D39" s="235"/>
      <c r="E39" s="235"/>
      <c r="F39" s="106">
        <f>'Rozpočet Pol'!AC61</f>
        <v>0</v>
      </c>
      <c r="G39" s="107">
        <f>'Rozpočet Pol'!AD61</f>
        <v>223565.05000000005</v>
      </c>
      <c r="H39" s="108">
        <f>(F39*SazbaDPH1/100)+(G39*SazbaDPH2/100)</f>
        <v>46948.660500000005</v>
      </c>
      <c r="I39" s="108">
        <f>F39+G39+H39</f>
        <v>270513.71050000004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6" t="s">
        <v>61</v>
      </c>
      <c r="C40" s="237"/>
      <c r="D40" s="237"/>
      <c r="E40" s="238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39" t="s">
        <v>63</v>
      </c>
      <c r="C43" s="239"/>
      <c r="D43" s="239"/>
      <c r="E43" s="239"/>
      <c r="F43" s="239"/>
      <c r="G43" s="239"/>
      <c r="H43" s="239"/>
      <c r="I43" s="239"/>
      <c r="J43" s="239"/>
      <c r="AZ43" s="113" t="str">
        <f>B43</f>
        <v>D1.4.4 Ústřední vytápění, III.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01" t="s">
        <v>31</v>
      </c>
      <c r="J48" s="201"/>
    </row>
    <row r="49" spans="1:10" ht="25.5" customHeight="1" x14ac:dyDescent="0.3">
      <c r="A49" s="119"/>
      <c r="B49" s="120" t="s">
        <v>66</v>
      </c>
      <c r="C49" s="202" t="s">
        <v>67</v>
      </c>
      <c r="D49" s="203"/>
      <c r="E49" s="203"/>
      <c r="F49" s="121" t="s">
        <v>32</v>
      </c>
      <c r="G49" s="122">
        <f>'Rozpočet Pol'!I8</f>
        <v>27.42</v>
      </c>
      <c r="H49" s="122">
        <f>'Rozpočet Pol'!K8</f>
        <v>524.76</v>
      </c>
      <c r="I49" s="204"/>
      <c r="J49" s="204"/>
    </row>
    <row r="50" spans="1:10" ht="25.5" customHeight="1" x14ac:dyDescent="0.3">
      <c r="A50" s="119"/>
      <c r="B50" s="123" t="s">
        <v>68</v>
      </c>
      <c r="C50" s="206" t="s">
        <v>69</v>
      </c>
      <c r="D50" s="207"/>
      <c r="E50" s="207"/>
      <c r="F50" s="124" t="s">
        <v>32</v>
      </c>
      <c r="G50" s="125">
        <f>'Rozpočet Pol'!I10</f>
        <v>965.72</v>
      </c>
      <c r="H50" s="125">
        <f>'Rozpočet Pol'!K10</f>
        <v>2174.04</v>
      </c>
      <c r="I50" s="205"/>
      <c r="J50" s="205"/>
    </row>
    <row r="51" spans="1:10" ht="25.5" customHeight="1" x14ac:dyDescent="0.3">
      <c r="A51" s="119"/>
      <c r="B51" s="123" t="s">
        <v>70</v>
      </c>
      <c r="C51" s="206" t="s">
        <v>71</v>
      </c>
      <c r="D51" s="207"/>
      <c r="E51" s="207"/>
      <c r="F51" s="124" t="s">
        <v>32</v>
      </c>
      <c r="G51" s="125">
        <f>'Rozpočet Pol'!I12</f>
        <v>2674.65</v>
      </c>
      <c r="H51" s="125">
        <f>'Rozpočet Pol'!K12</f>
        <v>843.24</v>
      </c>
      <c r="I51" s="205"/>
      <c r="J51" s="205"/>
    </row>
    <row r="52" spans="1:10" ht="25.5" customHeight="1" x14ac:dyDescent="0.3">
      <c r="A52" s="119"/>
      <c r="B52" s="123" t="s">
        <v>72</v>
      </c>
      <c r="C52" s="206" t="s">
        <v>73</v>
      </c>
      <c r="D52" s="207"/>
      <c r="E52" s="207"/>
      <c r="F52" s="124" t="s">
        <v>33</v>
      </c>
      <c r="G52" s="125">
        <f>'Rozpočet Pol'!I17</f>
        <v>0</v>
      </c>
      <c r="H52" s="125">
        <f>'Rozpočet Pol'!K17</f>
        <v>263.92</v>
      </c>
      <c r="I52" s="205"/>
      <c r="J52" s="205"/>
    </row>
    <row r="53" spans="1:10" ht="25.5" customHeight="1" x14ac:dyDescent="0.3">
      <c r="A53" s="119"/>
      <c r="B53" s="123" t="s">
        <v>74</v>
      </c>
      <c r="C53" s="206" t="s">
        <v>75</v>
      </c>
      <c r="D53" s="207"/>
      <c r="E53" s="207"/>
      <c r="F53" s="124" t="s">
        <v>33</v>
      </c>
      <c r="G53" s="125">
        <f>'Rozpočet Pol'!I19</f>
        <v>0</v>
      </c>
      <c r="H53" s="125">
        <f>'Rozpočet Pol'!K19</f>
        <v>244.58999999999997</v>
      </c>
      <c r="I53" s="205"/>
      <c r="J53" s="205"/>
    </row>
    <row r="54" spans="1:10" ht="25.5" customHeight="1" x14ac:dyDescent="0.3">
      <c r="A54" s="119"/>
      <c r="B54" s="123" t="s">
        <v>76</v>
      </c>
      <c r="C54" s="206" t="s">
        <v>77</v>
      </c>
      <c r="D54" s="207"/>
      <c r="E54" s="207"/>
      <c r="F54" s="124" t="s">
        <v>33</v>
      </c>
      <c r="G54" s="125">
        <f>'Rozpočet Pol'!I23</f>
        <v>1950.27</v>
      </c>
      <c r="H54" s="125">
        <f>'Rozpočet Pol'!K23</f>
        <v>4101.25</v>
      </c>
      <c r="I54" s="205"/>
      <c r="J54" s="205"/>
    </row>
    <row r="55" spans="1:10" ht="25.5" customHeight="1" x14ac:dyDescent="0.3">
      <c r="A55" s="119"/>
      <c r="B55" s="123" t="s">
        <v>78</v>
      </c>
      <c r="C55" s="206" t="s">
        <v>79</v>
      </c>
      <c r="D55" s="207"/>
      <c r="E55" s="207"/>
      <c r="F55" s="124" t="s">
        <v>33</v>
      </c>
      <c r="G55" s="125">
        <f>'Rozpočet Pol'!I27</f>
        <v>2357.3000000000002</v>
      </c>
      <c r="H55" s="125">
        <f>'Rozpočet Pol'!K27</f>
        <v>13112.77</v>
      </c>
      <c r="I55" s="205"/>
      <c r="J55" s="205"/>
    </row>
    <row r="56" spans="1:10" ht="25.5" customHeight="1" x14ac:dyDescent="0.3">
      <c r="A56" s="119"/>
      <c r="B56" s="123" t="s">
        <v>80</v>
      </c>
      <c r="C56" s="206" t="s">
        <v>81</v>
      </c>
      <c r="D56" s="207"/>
      <c r="E56" s="207"/>
      <c r="F56" s="124" t="s">
        <v>33</v>
      </c>
      <c r="G56" s="125">
        <f>'Rozpočet Pol'!I38</f>
        <v>0</v>
      </c>
      <c r="H56" s="125">
        <f>'Rozpočet Pol'!K38</f>
        <v>60585.359999999993</v>
      </c>
      <c r="I56" s="205"/>
      <c r="J56" s="205"/>
    </row>
    <row r="57" spans="1:10" ht="25.5" customHeight="1" x14ac:dyDescent="0.3">
      <c r="A57" s="119"/>
      <c r="B57" s="123" t="s">
        <v>82</v>
      </c>
      <c r="C57" s="206" t="s">
        <v>83</v>
      </c>
      <c r="D57" s="207"/>
      <c r="E57" s="207"/>
      <c r="F57" s="124" t="s">
        <v>33</v>
      </c>
      <c r="G57" s="125">
        <f>'Rozpočet Pol'!I54</f>
        <v>0</v>
      </c>
      <c r="H57" s="125">
        <f>'Rozpočet Pol'!K54</f>
        <v>124638.56999999999</v>
      </c>
      <c r="I57" s="205"/>
      <c r="J57" s="205"/>
    </row>
    <row r="58" spans="1:10" ht="25.5" customHeight="1" x14ac:dyDescent="0.3">
      <c r="A58" s="119"/>
      <c r="B58" s="126" t="s">
        <v>35</v>
      </c>
      <c r="C58" s="209" t="s">
        <v>36</v>
      </c>
      <c r="D58" s="210"/>
      <c r="E58" s="210"/>
      <c r="F58" s="127" t="s">
        <v>35</v>
      </c>
      <c r="G58" s="128">
        <f>'Rozpočet Pol'!I58</f>
        <v>0</v>
      </c>
      <c r="H58" s="128">
        <f>'Rozpočet Pol'!K58</f>
        <v>9100.7999999999993</v>
      </c>
      <c r="I58" s="208"/>
      <c r="J58" s="208"/>
    </row>
    <row r="59" spans="1:10" ht="25.5" customHeight="1" x14ac:dyDescent="0.3">
      <c r="A59" s="129"/>
      <c r="B59" s="130" t="s">
        <v>59</v>
      </c>
      <c r="C59" s="130"/>
      <c r="D59" s="131"/>
      <c r="E59" s="131"/>
      <c r="F59" s="132"/>
      <c r="G59" s="133">
        <f>SUM(G49:G58)</f>
        <v>7975.36</v>
      </c>
      <c r="H59" s="133">
        <f>SUM(H49:H58)</f>
        <v>215589.3</v>
      </c>
      <c r="I59" s="211">
        <f>SUM(I49:I58)</f>
        <v>0</v>
      </c>
      <c r="J59" s="211"/>
    </row>
    <row r="60" spans="1:10" x14ac:dyDescent="0.3">
      <c r="F60" s="134"/>
      <c r="G60" s="135"/>
      <c r="H60" s="134"/>
      <c r="I60" s="135"/>
      <c r="J60" s="135"/>
    </row>
    <row r="61" spans="1:10" x14ac:dyDescent="0.3">
      <c r="F61" s="134"/>
      <c r="G61" s="135"/>
      <c r="H61" s="134"/>
      <c r="I61" s="135"/>
      <c r="J61" s="135"/>
    </row>
    <row r="62" spans="1:10" x14ac:dyDescent="0.3">
      <c r="F62" s="134"/>
      <c r="G62" s="135"/>
      <c r="H62" s="134"/>
      <c r="I62" s="135"/>
      <c r="J62" s="135"/>
    </row>
  </sheetData>
  <mergeCells count="60">
    <mergeCell ref="B43:J43"/>
    <mergeCell ref="E21:F21"/>
    <mergeCell ref="G21:H21"/>
    <mergeCell ref="G28:I28"/>
    <mergeCell ref="G15:H15"/>
    <mergeCell ref="I15:J15"/>
    <mergeCell ref="E16:F16"/>
    <mergeCell ref="G27:I27"/>
    <mergeCell ref="G29:I29"/>
    <mergeCell ref="D35:E35"/>
    <mergeCell ref="C39:E39"/>
    <mergeCell ref="B40:E40"/>
    <mergeCell ref="I21:J21"/>
    <mergeCell ref="G23:I23"/>
    <mergeCell ref="G24:I24"/>
    <mergeCell ref="G25:I25"/>
    <mergeCell ref="G26:I26"/>
    <mergeCell ref="I19:J19"/>
    <mergeCell ref="G19:H19"/>
    <mergeCell ref="E19:F19"/>
    <mergeCell ref="E20:F20"/>
    <mergeCell ref="I20:J20"/>
    <mergeCell ref="G20:H20"/>
    <mergeCell ref="G17:H17"/>
    <mergeCell ref="E17:F17"/>
    <mergeCell ref="I17:J17"/>
    <mergeCell ref="I18:J18"/>
    <mergeCell ref="G18:H18"/>
    <mergeCell ref="E18:F18"/>
    <mergeCell ref="B1:J1"/>
    <mergeCell ref="D2:J2"/>
    <mergeCell ref="D11:G11"/>
    <mergeCell ref="E15:F15"/>
    <mergeCell ref="I16:J16"/>
    <mergeCell ref="G16:H16"/>
    <mergeCell ref="D12:G12"/>
    <mergeCell ref="D13:G13"/>
    <mergeCell ref="D3:J3"/>
    <mergeCell ref="I57:J57"/>
    <mergeCell ref="C57:E57"/>
    <mergeCell ref="I58:J58"/>
    <mergeCell ref="C58:E58"/>
    <mergeCell ref="I59:J59"/>
    <mergeCell ref="C54:E54"/>
    <mergeCell ref="I54:J54"/>
    <mergeCell ref="C55:E55"/>
    <mergeCell ref="I55:J55"/>
    <mergeCell ref="I56:J56"/>
    <mergeCell ref="C56:E56"/>
    <mergeCell ref="I51:J51"/>
    <mergeCell ref="C51:E51"/>
    <mergeCell ref="C52:E52"/>
    <mergeCell ref="I52:J52"/>
    <mergeCell ref="C53:E53"/>
    <mergeCell ref="I53:J53"/>
    <mergeCell ref="I48:J48"/>
    <mergeCell ref="C49:E49"/>
    <mergeCell ref="I49:J49"/>
    <mergeCell ref="I50:J50"/>
    <mergeCell ref="C50:E50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84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85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86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87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1"/>
  <sheetViews>
    <sheetView topLeftCell="A45"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53" t="s">
        <v>84</v>
      </c>
      <c r="B1" s="253"/>
      <c r="C1" s="253"/>
      <c r="D1" s="253"/>
      <c r="E1" s="253"/>
      <c r="F1" s="253"/>
      <c r="G1" s="253"/>
      <c r="AE1" t="s">
        <v>88</v>
      </c>
    </row>
    <row r="2" spans="1:60" ht="24.95" customHeight="1" x14ac:dyDescent="0.3">
      <c r="A2" s="144" t="s">
        <v>89</v>
      </c>
      <c r="B2" s="145"/>
      <c r="C2" s="254" t="s">
        <v>5</v>
      </c>
      <c r="D2" s="255"/>
      <c r="E2" s="255"/>
      <c r="F2" s="255"/>
      <c r="G2" s="256"/>
      <c r="AE2" t="s">
        <v>90</v>
      </c>
    </row>
    <row r="3" spans="1:60" ht="24.95" customHeight="1" x14ac:dyDescent="0.3">
      <c r="A3" s="146" t="s">
        <v>86</v>
      </c>
      <c r="B3" s="147"/>
      <c r="C3" s="257" t="s">
        <v>7</v>
      </c>
      <c r="D3" s="258"/>
      <c r="E3" s="258"/>
      <c r="F3" s="258"/>
      <c r="G3" s="259"/>
      <c r="AE3" t="s">
        <v>91</v>
      </c>
    </row>
    <row r="4" spans="1:60" ht="24.95" hidden="1" customHeight="1" x14ac:dyDescent="0.3">
      <c r="A4" s="146" t="s">
        <v>87</v>
      </c>
      <c r="B4" s="147"/>
      <c r="C4" s="257"/>
      <c r="D4" s="258"/>
      <c r="E4" s="258"/>
      <c r="F4" s="258"/>
      <c r="G4" s="259"/>
      <c r="AE4" t="s">
        <v>92</v>
      </c>
    </row>
    <row r="5" spans="1:60" hidden="1" x14ac:dyDescent="0.3">
      <c r="A5" s="148" t="s">
        <v>93</v>
      </c>
      <c r="B5" s="149"/>
      <c r="C5" s="150"/>
      <c r="D5" s="151"/>
      <c r="E5" s="151"/>
      <c r="F5" s="151"/>
      <c r="G5" s="152"/>
      <c r="AE5" t="s">
        <v>94</v>
      </c>
    </row>
    <row r="7" spans="1:60" ht="40.5" x14ac:dyDescent="0.3">
      <c r="A7" s="153" t="s">
        <v>95</v>
      </c>
      <c r="B7" s="154" t="s">
        <v>96</v>
      </c>
      <c r="C7" s="154" t="s">
        <v>97</v>
      </c>
      <c r="D7" s="153" t="s">
        <v>98</v>
      </c>
      <c r="E7" s="153" t="s">
        <v>99</v>
      </c>
      <c r="F7" s="155" t="s">
        <v>100</v>
      </c>
      <c r="G7" s="156" t="s">
        <v>31</v>
      </c>
      <c r="H7" s="157" t="s">
        <v>29</v>
      </c>
      <c r="I7" s="157" t="s">
        <v>101</v>
      </c>
      <c r="J7" s="157" t="s">
        <v>30</v>
      </c>
      <c r="K7" s="157" t="s">
        <v>102</v>
      </c>
      <c r="L7" s="157" t="s">
        <v>103</v>
      </c>
      <c r="M7" s="157" t="s">
        <v>104</v>
      </c>
      <c r="N7" s="157" t="s">
        <v>105</v>
      </c>
      <c r="O7" s="157" t="s">
        <v>106</v>
      </c>
      <c r="P7" s="157" t="s">
        <v>107</v>
      </c>
      <c r="Q7" s="157" t="s">
        <v>108</v>
      </c>
      <c r="R7" s="157" t="s">
        <v>109</v>
      </c>
      <c r="S7" s="157" t="s">
        <v>110</v>
      </c>
      <c r="T7" s="157" t="s">
        <v>111</v>
      </c>
      <c r="U7" s="158" t="s">
        <v>112</v>
      </c>
    </row>
    <row r="8" spans="1:60" x14ac:dyDescent="0.3">
      <c r="A8" s="159" t="s">
        <v>113</v>
      </c>
      <c r="B8" s="160" t="s">
        <v>66</v>
      </c>
      <c r="C8" s="161" t="s">
        <v>67</v>
      </c>
      <c r="D8" s="162"/>
      <c r="E8" s="163"/>
      <c r="F8" s="164"/>
      <c r="G8" s="164">
        <f>SUMIF(AE9,"&lt;&gt;NOR",G9)</f>
        <v>552.17999999999995</v>
      </c>
      <c r="H8" s="164"/>
      <c r="I8" s="164">
        <f>SUM(I9)</f>
        <v>27.42</v>
      </c>
      <c r="J8" s="164"/>
      <c r="K8" s="164">
        <f>SUM(K9)</f>
        <v>524.76</v>
      </c>
      <c r="L8" s="164"/>
      <c r="M8" s="164">
        <f>SUM(M9)</f>
        <v>668.13779999999997</v>
      </c>
      <c r="N8" s="165"/>
      <c r="O8" s="165">
        <f>SUM(O9)</f>
        <v>2.052E-2</v>
      </c>
      <c r="P8" s="165"/>
      <c r="Q8" s="165">
        <f>SUM(Q9)</f>
        <v>0</v>
      </c>
      <c r="R8" s="165"/>
      <c r="S8" s="165"/>
      <c r="T8" s="159"/>
      <c r="U8" s="165">
        <f>SUM(U9)</f>
        <v>1.0900000000000001</v>
      </c>
      <c r="AE8" t="s">
        <v>114</v>
      </c>
    </row>
    <row r="9" spans="1:60" ht="22.5" outlineLevel="1" x14ac:dyDescent="0.3">
      <c r="A9" s="166">
        <v>1</v>
      </c>
      <c r="B9" s="167" t="s">
        <v>115</v>
      </c>
      <c r="C9" s="168" t="s">
        <v>116</v>
      </c>
      <c r="D9" s="169" t="s">
        <v>117</v>
      </c>
      <c r="E9" s="170">
        <v>6</v>
      </c>
      <c r="F9" s="171">
        <v>92.03</v>
      </c>
      <c r="G9" s="172">
        <v>552.17999999999995</v>
      </c>
      <c r="H9" s="171">
        <v>4.57</v>
      </c>
      <c r="I9" s="172">
        <f>ROUND(E9*H9,2)</f>
        <v>27.42</v>
      </c>
      <c r="J9" s="171">
        <v>87.46</v>
      </c>
      <c r="K9" s="172">
        <f>ROUND(E9*J9,2)</f>
        <v>524.76</v>
      </c>
      <c r="L9" s="172">
        <v>21</v>
      </c>
      <c r="M9" s="172">
        <f>G9*(1+L9/100)</f>
        <v>668.13779999999997</v>
      </c>
      <c r="N9" s="173">
        <v>3.4199999999999999E-3</v>
      </c>
      <c r="O9" s="173">
        <f>ROUND(E9*N9,5)</f>
        <v>2.052E-2</v>
      </c>
      <c r="P9" s="173">
        <v>0</v>
      </c>
      <c r="Q9" s="173">
        <f>ROUND(E9*P9,5)</f>
        <v>0</v>
      </c>
      <c r="R9" s="173"/>
      <c r="S9" s="173"/>
      <c r="T9" s="174">
        <v>0.18099999999999999</v>
      </c>
      <c r="U9" s="173">
        <f>ROUND(E9*T9,2)</f>
        <v>1.0900000000000001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118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x14ac:dyDescent="0.3">
      <c r="A10" s="176" t="s">
        <v>113</v>
      </c>
      <c r="B10" s="177" t="s">
        <v>68</v>
      </c>
      <c r="C10" s="178" t="s">
        <v>69</v>
      </c>
      <c r="D10" s="179"/>
      <c r="E10" s="180"/>
      <c r="F10" s="181"/>
      <c r="G10" s="181">
        <f>SUMIF(AE11,"&lt;&gt;NOR",G11)</f>
        <v>3139.76</v>
      </c>
      <c r="H10" s="181"/>
      <c r="I10" s="181">
        <f>SUM(I11)</f>
        <v>965.72</v>
      </c>
      <c r="J10" s="181"/>
      <c r="K10" s="181">
        <f>SUM(K11)</f>
        <v>2174.04</v>
      </c>
      <c r="L10" s="181"/>
      <c r="M10" s="181">
        <f>SUM(M11)</f>
        <v>3799.1096000000002</v>
      </c>
      <c r="N10" s="182"/>
      <c r="O10" s="182">
        <f>SUM(O11)</f>
        <v>0.20080000000000001</v>
      </c>
      <c r="P10" s="182"/>
      <c r="Q10" s="182">
        <f>SUM(Q11)</f>
        <v>0</v>
      </c>
      <c r="R10" s="182"/>
      <c r="S10" s="182"/>
      <c r="T10" s="183"/>
      <c r="U10" s="182">
        <f>SUM(U11)</f>
        <v>3.08</v>
      </c>
      <c r="AE10" t="s">
        <v>114</v>
      </c>
    </row>
    <row r="11" spans="1:60" ht="22.5" outlineLevel="1" x14ac:dyDescent="0.3">
      <c r="A11" s="166">
        <v>2</v>
      </c>
      <c r="B11" s="167" t="s">
        <v>119</v>
      </c>
      <c r="C11" s="168" t="s">
        <v>120</v>
      </c>
      <c r="D11" s="169" t="s">
        <v>117</v>
      </c>
      <c r="E11" s="170">
        <v>4</v>
      </c>
      <c r="F11" s="171">
        <v>784.94</v>
      </c>
      <c r="G11" s="172">
        <v>3139.76</v>
      </c>
      <c r="H11" s="171">
        <v>241.43</v>
      </c>
      <c r="I11" s="172">
        <f>ROUND(E11*H11,2)</f>
        <v>965.72</v>
      </c>
      <c r="J11" s="171">
        <v>543.51</v>
      </c>
      <c r="K11" s="172">
        <f>ROUND(E11*J11,2)</f>
        <v>2174.04</v>
      </c>
      <c r="L11" s="172">
        <v>21</v>
      </c>
      <c r="M11" s="172">
        <f>G11*(1+L11/100)</f>
        <v>3799.1096000000002</v>
      </c>
      <c r="N11" s="173">
        <v>5.0200000000000002E-2</v>
      </c>
      <c r="O11" s="173">
        <f>ROUND(E11*N11,5)</f>
        <v>0.20080000000000001</v>
      </c>
      <c r="P11" s="173">
        <v>0</v>
      </c>
      <c r="Q11" s="173">
        <f>ROUND(E11*P11,5)</f>
        <v>0</v>
      </c>
      <c r="R11" s="173"/>
      <c r="S11" s="173"/>
      <c r="T11" s="174">
        <v>0.77</v>
      </c>
      <c r="U11" s="173">
        <f>ROUND(E11*T11,2)</f>
        <v>3.08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118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113</v>
      </c>
      <c r="B12" s="177" t="s">
        <v>70</v>
      </c>
      <c r="C12" s="178" t="s">
        <v>71</v>
      </c>
      <c r="D12" s="179"/>
      <c r="E12" s="180"/>
      <c r="F12" s="181"/>
      <c r="G12" s="181">
        <f>SUMIF(AE13:AE16,"&lt;&gt;NOR",G13:G16)</f>
        <v>3518.2799999999997</v>
      </c>
      <c r="H12" s="181"/>
      <c r="I12" s="181">
        <f>SUM(I13:I16)</f>
        <v>2674.65</v>
      </c>
      <c r="J12" s="181"/>
      <c r="K12" s="181">
        <f>SUM(K13:K16)</f>
        <v>843.24</v>
      </c>
      <c r="L12" s="181"/>
      <c r="M12" s="181">
        <f>SUM(M13:M16)</f>
        <v>4257.1187999999993</v>
      </c>
      <c r="N12" s="182"/>
      <c r="O12" s="182">
        <f>SUM(O13:O16)</f>
        <v>0</v>
      </c>
      <c r="P12" s="182"/>
      <c r="Q12" s="182">
        <f>SUM(Q13:Q16)</f>
        <v>9.6699999999999998E-3</v>
      </c>
      <c r="R12" s="182"/>
      <c r="S12" s="182"/>
      <c r="T12" s="183"/>
      <c r="U12" s="182">
        <f>SUM(U13:U16)</f>
        <v>3.8699999999999997</v>
      </c>
      <c r="AE12" t="s">
        <v>114</v>
      </c>
    </row>
    <row r="13" spans="1:60" outlineLevel="1" x14ac:dyDescent="0.3">
      <c r="A13" s="166">
        <v>3</v>
      </c>
      <c r="B13" s="167" t="s">
        <v>121</v>
      </c>
      <c r="C13" s="168" t="s">
        <v>122</v>
      </c>
      <c r="D13" s="169" t="s">
        <v>123</v>
      </c>
      <c r="E13" s="170">
        <v>1.28</v>
      </c>
      <c r="F13" s="171">
        <v>2627.86</v>
      </c>
      <c r="G13" s="172">
        <v>3363.66</v>
      </c>
      <c r="H13" s="171">
        <v>2089.5700000000002</v>
      </c>
      <c r="I13" s="172">
        <f>ROUND(E13*H13,2)</f>
        <v>2674.65</v>
      </c>
      <c r="J13" s="171">
        <v>538.29</v>
      </c>
      <c r="K13" s="172">
        <f>ROUND(E13*J13,2)</f>
        <v>689.01</v>
      </c>
      <c r="L13" s="172">
        <v>21</v>
      </c>
      <c r="M13" s="172">
        <f>G13*(1+L13/100)</f>
        <v>4070.0285999999996</v>
      </c>
      <c r="N13" s="173">
        <v>0</v>
      </c>
      <c r="O13" s="173">
        <f>ROUND(E13*N13,5)</f>
        <v>0</v>
      </c>
      <c r="P13" s="173">
        <v>2.8700000000000002E-3</v>
      </c>
      <c r="Q13" s="173">
        <f>ROUND(E13*P13,5)</f>
        <v>3.6700000000000001E-3</v>
      </c>
      <c r="R13" s="173"/>
      <c r="S13" s="173"/>
      <c r="T13" s="174">
        <v>2.7</v>
      </c>
      <c r="U13" s="173">
        <f>ROUND(E13*T13,2)</f>
        <v>3.46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118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4</v>
      </c>
      <c r="B14" s="167" t="s">
        <v>124</v>
      </c>
      <c r="C14" s="168" t="s">
        <v>125</v>
      </c>
      <c r="D14" s="169" t="s">
        <v>117</v>
      </c>
      <c r="E14" s="170">
        <v>6</v>
      </c>
      <c r="F14" s="171">
        <v>23.78</v>
      </c>
      <c r="G14" s="172">
        <v>142.68</v>
      </c>
      <c r="H14" s="171">
        <v>0</v>
      </c>
      <c r="I14" s="172">
        <f>ROUND(E14*H14,2)</f>
        <v>0</v>
      </c>
      <c r="J14" s="171">
        <v>23.78</v>
      </c>
      <c r="K14" s="172">
        <f>ROUND(E14*J14,2)</f>
        <v>142.68</v>
      </c>
      <c r="L14" s="172">
        <v>21</v>
      </c>
      <c r="M14" s="172">
        <f>G14*(1+L14/100)</f>
        <v>172.64279999999999</v>
      </c>
      <c r="N14" s="173">
        <v>0</v>
      </c>
      <c r="O14" s="173">
        <f>ROUND(E14*N14,5)</f>
        <v>0</v>
      </c>
      <c r="P14" s="173">
        <v>1E-3</v>
      </c>
      <c r="Q14" s="173">
        <f>ROUND(E14*P14,5)</f>
        <v>6.0000000000000001E-3</v>
      </c>
      <c r="R14" s="173"/>
      <c r="S14" s="173"/>
      <c r="T14" s="174">
        <v>6.4000000000000001E-2</v>
      </c>
      <c r="U14" s="173">
        <f>ROUND(E14*T14,2)</f>
        <v>0.38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118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5</v>
      </c>
      <c r="B15" s="167" t="s">
        <v>126</v>
      </c>
      <c r="C15" s="168" t="s">
        <v>127</v>
      </c>
      <c r="D15" s="169" t="s">
        <v>128</v>
      </c>
      <c r="E15" s="170">
        <v>9.6699999999999998E-3</v>
      </c>
      <c r="F15" s="171">
        <v>366.31</v>
      </c>
      <c r="G15" s="172">
        <v>3.66</v>
      </c>
      <c r="H15" s="171">
        <v>0</v>
      </c>
      <c r="I15" s="172">
        <f>ROUND(E15*H15,2)</f>
        <v>0</v>
      </c>
      <c r="J15" s="171">
        <v>366.31</v>
      </c>
      <c r="K15" s="172">
        <f>ROUND(E15*J15,2)</f>
        <v>3.54</v>
      </c>
      <c r="L15" s="172">
        <v>21</v>
      </c>
      <c r="M15" s="172">
        <f>G15*(1+L15/100)</f>
        <v>4.4286000000000003</v>
      </c>
      <c r="N15" s="173">
        <v>0</v>
      </c>
      <c r="O15" s="173">
        <f>ROUND(E15*N15,5)</f>
        <v>0</v>
      </c>
      <c r="P15" s="173">
        <v>0</v>
      </c>
      <c r="Q15" s="173">
        <f>ROUND(E15*P15,5)</f>
        <v>0</v>
      </c>
      <c r="R15" s="173"/>
      <c r="S15" s="173"/>
      <c r="T15" s="174">
        <v>2.0089999999999999</v>
      </c>
      <c r="U15" s="173">
        <f>ROUND(E15*T15,2)</f>
        <v>0.02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118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3">
      <c r="A16" s="166">
        <v>6</v>
      </c>
      <c r="B16" s="167" t="s">
        <v>129</v>
      </c>
      <c r="C16" s="168" t="s">
        <v>130</v>
      </c>
      <c r="D16" s="169" t="s">
        <v>128</v>
      </c>
      <c r="E16" s="170">
        <v>9.6699999999999998E-3</v>
      </c>
      <c r="F16" s="171">
        <v>828.17</v>
      </c>
      <c r="G16" s="172">
        <v>8.2799999999999994</v>
      </c>
      <c r="H16" s="171">
        <v>0</v>
      </c>
      <c r="I16" s="172">
        <f>ROUND(E16*H16,2)</f>
        <v>0</v>
      </c>
      <c r="J16" s="171">
        <v>828.17</v>
      </c>
      <c r="K16" s="172">
        <f>ROUND(E16*J16,2)</f>
        <v>8.01</v>
      </c>
      <c r="L16" s="172">
        <v>21</v>
      </c>
      <c r="M16" s="172">
        <f>G16*(1+L16/100)</f>
        <v>10.018799999999999</v>
      </c>
      <c r="N16" s="173">
        <v>0</v>
      </c>
      <c r="O16" s="173">
        <f>ROUND(E16*N16,5)</f>
        <v>0</v>
      </c>
      <c r="P16" s="173">
        <v>0</v>
      </c>
      <c r="Q16" s="173">
        <f>ROUND(E16*P16,5)</f>
        <v>0</v>
      </c>
      <c r="R16" s="173"/>
      <c r="S16" s="173"/>
      <c r="T16" s="174">
        <v>0.94199999999999995</v>
      </c>
      <c r="U16" s="173">
        <f>ROUND(E16*T16,2)</f>
        <v>0.01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118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x14ac:dyDescent="0.3">
      <c r="A17" s="176" t="s">
        <v>113</v>
      </c>
      <c r="B17" s="177" t="s">
        <v>72</v>
      </c>
      <c r="C17" s="178" t="s">
        <v>73</v>
      </c>
      <c r="D17" s="179"/>
      <c r="E17" s="180"/>
      <c r="F17" s="181"/>
      <c r="G17" s="181">
        <f>SUMIF(AE18,"&lt;&gt;NOR",G18)</f>
        <v>263.92</v>
      </c>
      <c r="H17" s="181"/>
      <c r="I17" s="181">
        <f>SUM(I18)</f>
        <v>0</v>
      </c>
      <c r="J17" s="181"/>
      <c r="K17" s="181">
        <f>SUM(K18)</f>
        <v>263.92</v>
      </c>
      <c r="L17" s="181"/>
      <c r="M17" s="181">
        <f>SUM(M18)</f>
        <v>319.34320000000002</v>
      </c>
      <c r="N17" s="182"/>
      <c r="O17" s="182">
        <f>SUM(O18)</f>
        <v>6.0999999999999997E-4</v>
      </c>
      <c r="P17" s="182"/>
      <c r="Q17" s="182">
        <f>SUM(Q18)</f>
        <v>0</v>
      </c>
      <c r="R17" s="182"/>
      <c r="S17" s="182"/>
      <c r="T17" s="183"/>
      <c r="U17" s="182">
        <f>SUM(U18)</f>
        <v>0.16</v>
      </c>
      <c r="AE17" t="s">
        <v>114</v>
      </c>
    </row>
    <row r="18" spans="1:60" ht="22.5" outlineLevel="1" x14ac:dyDescent="0.3">
      <c r="A18" s="166">
        <v>7</v>
      </c>
      <c r="B18" s="167" t="s">
        <v>131</v>
      </c>
      <c r="C18" s="168" t="s">
        <v>132</v>
      </c>
      <c r="D18" s="169" t="s">
        <v>123</v>
      </c>
      <c r="E18" s="170">
        <v>0.4</v>
      </c>
      <c r="F18" s="171">
        <v>659.81</v>
      </c>
      <c r="G18" s="172">
        <v>263.92</v>
      </c>
      <c r="H18" s="171">
        <v>0</v>
      </c>
      <c r="I18" s="172">
        <f>ROUND(E18*H18,2)</f>
        <v>0</v>
      </c>
      <c r="J18" s="171">
        <v>659.81</v>
      </c>
      <c r="K18" s="172">
        <f>ROUND(E18*J18,2)</f>
        <v>263.92</v>
      </c>
      <c r="L18" s="172">
        <v>21</v>
      </c>
      <c r="M18" s="172">
        <f>G18*(1+L18/100)</f>
        <v>319.34320000000002</v>
      </c>
      <c r="N18" s="173">
        <v>1.5200000000000001E-3</v>
      </c>
      <c r="O18" s="173">
        <f>ROUND(E18*N18,5)</f>
        <v>6.0999999999999997E-4</v>
      </c>
      <c r="P18" s="173">
        <v>0</v>
      </c>
      <c r="Q18" s="173">
        <f>ROUND(E18*P18,5)</f>
        <v>0</v>
      </c>
      <c r="R18" s="173"/>
      <c r="S18" s="173"/>
      <c r="T18" s="174">
        <v>0.40100000000000002</v>
      </c>
      <c r="U18" s="173">
        <f>ROUND(E18*T18,2)</f>
        <v>0.16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118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x14ac:dyDescent="0.3">
      <c r="A19" s="176" t="s">
        <v>113</v>
      </c>
      <c r="B19" s="177" t="s">
        <v>74</v>
      </c>
      <c r="C19" s="178" t="s">
        <v>75</v>
      </c>
      <c r="D19" s="179"/>
      <c r="E19" s="180"/>
      <c r="F19" s="181"/>
      <c r="G19" s="181">
        <f>SUMIF(AE20:AE22,"&lt;&gt;NOR",G20:G22)</f>
        <v>244.58999999999997</v>
      </c>
      <c r="H19" s="181"/>
      <c r="I19" s="181">
        <f>SUM(I20:I22)</f>
        <v>0</v>
      </c>
      <c r="J19" s="181"/>
      <c r="K19" s="181">
        <f>SUM(K20:K22)</f>
        <v>244.58999999999997</v>
      </c>
      <c r="L19" s="181"/>
      <c r="M19" s="181">
        <f>SUM(M20:M22)</f>
        <v>295.95389999999998</v>
      </c>
      <c r="N19" s="182"/>
      <c r="O19" s="182">
        <f>SUM(O20:O22)</f>
        <v>2.0000000000000001E-4</v>
      </c>
      <c r="P19" s="182"/>
      <c r="Q19" s="182">
        <f>SUM(Q20:Q22)</f>
        <v>0</v>
      </c>
      <c r="R19" s="182"/>
      <c r="S19" s="182"/>
      <c r="T19" s="183"/>
      <c r="U19" s="182">
        <f>SUM(U20:U22)</f>
        <v>0.4</v>
      </c>
      <c r="AE19" t="s">
        <v>114</v>
      </c>
    </row>
    <row r="20" spans="1:60" ht="22.5" outlineLevel="1" x14ac:dyDescent="0.3">
      <c r="A20" s="166">
        <v>8</v>
      </c>
      <c r="B20" s="167" t="s">
        <v>133</v>
      </c>
      <c r="C20" s="168" t="s">
        <v>134</v>
      </c>
      <c r="D20" s="169" t="s">
        <v>123</v>
      </c>
      <c r="E20" s="170">
        <v>1</v>
      </c>
      <c r="F20" s="171">
        <v>77.36</v>
      </c>
      <c r="G20" s="172">
        <v>77.36</v>
      </c>
      <c r="H20" s="171">
        <v>0</v>
      </c>
      <c r="I20" s="172">
        <f>ROUND(E20*H20,2)</f>
        <v>0</v>
      </c>
      <c r="J20" s="171">
        <v>77.36</v>
      </c>
      <c r="K20" s="172">
        <f>ROUND(E20*J20,2)</f>
        <v>77.36</v>
      </c>
      <c r="L20" s="172">
        <v>21</v>
      </c>
      <c r="M20" s="172">
        <f>G20*(1+L20/100)</f>
        <v>93.605599999999995</v>
      </c>
      <c r="N20" s="173">
        <v>5.0000000000000002E-5</v>
      </c>
      <c r="O20" s="173">
        <f>ROUND(E20*N20,5)</f>
        <v>5.0000000000000002E-5</v>
      </c>
      <c r="P20" s="173">
        <v>0</v>
      </c>
      <c r="Q20" s="173">
        <f>ROUND(E20*P20,5)</f>
        <v>0</v>
      </c>
      <c r="R20" s="173"/>
      <c r="S20" s="173"/>
      <c r="T20" s="174">
        <v>0.129</v>
      </c>
      <c r="U20" s="173">
        <f>ROUND(E20*T20,2)</f>
        <v>0.13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118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9</v>
      </c>
      <c r="B21" s="167" t="s">
        <v>135</v>
      </c>
      <c r="C21" s="168" t="s">
        <v>136</v>
      </c>
      <c r="D21" s="169" t="s">
        <v>123</v>
      </c>
      <c r="E21" s="170">
        <v>1</v>
      </c>
      <c r="F21" s="171">
        <v>81.91</v>
      </c>
      <c r="G21" s="172">
        <v>81.91</v>
      </c>
      <c r="H21" s="171">
        <v>0</v>
      </c>
      <c r="I21" s="172">
        <f>ROUND(E21*H21,2)</f>
        <v>0</v>
      </c>
      <c r="J21" s="171">
        <v>81.91</v>
      </c>
      <c r="K21" s="172">
        <f>ROUND(E21*J21,2)</f>
        <v>81.91</v>
      </c>
      <c r="L21" s="172">
        <v>21</v>
      </c>
      <c r="M21" s="172">
        <f>G21*(1+L21/100)</f>
        <v>99.111099999999993</v>
      </c>
      <c r="N21" s="173">
        <v>8.0000000000000007E-5</v>
      </c>
      <c r="O21" s="173">
        <f>ROUND(E21*N21,5)</f>
        <v>8.0000000000000007E-5</v>
      </c>
      <c r="P21" s="173">
        <v>0</v>
      </c>
      <c r="Q21" s="173">
        <f>ROUND(E21*P21,5)</f>
        <v>0</v>
      </c>
      <c r="R21" s="173"/>
      <c r="S21" s="173"/>
      <c r="T21" s="174">
        <v>0.129</v>
      </c>
      <c r="U21" s="173">
        <f>ROUND(E21*T21,2)</f>
        <v>0.13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118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2.5" outlineLevel="1" x14ac:dyDescent="0.3">
      <c r="A22" s="166">
        <v>10</v>
      </c>
      <c r="B22" s="167" t="s">
        <v>137</v>
      </c>
      <c r="C22" s="168" t="s">
        <v>138</v>
      </c>
      <c r="D22" s="169" t="s">
        <v>123</v>
      </c>
      <c r="E22" s="170">
        <v>1</v>
      </c>
      <c r="F22" s="171">
        <v>85.32</v>
      </c>
      <c r="G22" s="172">
        <v>85.32</v>
      </c>
      <c r="H22" s="171">
        <v>0</v>
      </c>
      <c r="I22" s="172">
        <f>ROUND(E22*H22,2)</f>
        <v>0</v>
      </c>
      <c r="J22" s="171">
        <v>85.32</v>
      </c>
      <c r="K22" s="172">
        <f>ROUND(E22*J22,2)</f>
        <v>85.32</v>
      </c>
      <c r="L22" s="172">
        <v>21</v>
      </c>
      <c r="M22" s="172">
        <f>G22*(1+L22/100)</f>
        <v>103.23719999999999</v>
      </c>
      <c r="N22" s="173">
        <v>6.9999999999999994E-5</v>
      </c>
      <c r="O22" s="173">
        <f>ROUND(E22*N22,5)</f>
        <v>6.9999999999999994E-5</v>
      </c>
      <c r="P22" s="173">
        <v>0</v>
      </c>
      <c r="Q22" s="173">
        <f>ROUND(E22*P22,5)</f>
        <v>0</v>
      </c>
      <c r="R22" s="173"/>
      <c r="S22" s="173"/>
      <c r="T22" s="174">
        <v>0.14199999999999999</v>
      </c>
      <c r="U22" s="173">
        <f>ROUND(E22*T22,2)</f>
        <v>0.14000000000000001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118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x14ac:dyDescent="0.3">
      <c r="A23" s="176" t="s">
        <v>113</v>
      </c>
      <c r="B23" s="177" t="s">
        <v>76</v>
      </c>
      <c r="C23" s="178" t="s">
        <v>77</v>
      </c>
      <c r="D23" s="179"/>
      <c r="E23" s="180"/>
      <c r="F23" s="181"/>
      <c r="G23" s="181">
        <f>SUMIF(AE24:AE26,"&lt;&gt;NOR",G24:G26)</f>
        <v>6052.1500000000005</v>
      </c>
      <c r="H23" s="181"/>
      <c r="I23" s="181">
        <f>SUM(I24:I26)</f>
        <v>1950.27</v>
      </c>
      <c r="J23" s="181"/>
      <c r="K23" s="181">
        <f>SUM(K24:K26)</f>
        <v>4101.25</v>
      </c>
      <c r="L23" s="181"/>
      <c r="M23" s="181">
        <f>SUM(M24:M26)</f>
        <v>7323.1014999999998</v>
      </c>
      <c r="N23" s="182"/>
      <c r="O23" s="182">
        <f>SUM(O24:O26)</f>
        <v>0.14448</v>
      </c>
      <c r="P23" s="182"/>
      <c r="Q23" s="182">
        <f>SUM(Q24:Q26)</f>
        <v>0</v>
      </c>
      <c r="R23" s="182"/>
      <c r="S23" s="182"/>
      <c r="T23" s="183"/>
      <c r="U23" s="182">
        <f>SUM(U24:U26)</f>
        <v>9.4400000000000013</v>
      </c>
      <c r="AE23" t="s">
        <v>114</v>
      </c>
    </row>
    <row r="24" spans="1:60" ht="22.5" outlineLevel="1" x14ac:dyDescent="0.3">
      <c r="A24" s="166">
        <v>11</v>
      </c>
      <c r="B24" s="167" t="s">
        <v>139</v>
      </c>
      <c r="C24" s="168" t="s">
        <v>140</v>
      </c>
      <c r="D24" s="169" t="s">
        <v>123</v>
      </c>
      <c r="E24" s="170">
        <v>21</v>
      </c>
      <c r="F24" s="171">
        <v>259.37</v>
      </c>
      <c r="G24" s="172">
        <v>5446.77</v>
      </c>
      <c r="H24" s="171">
        <v>92.43</v>
      </c>
      <c r="I24" s="172">
        <f>ROUND(E24*H24,2)</f>
        <v>1941.03</v>
      </c>
      <c r="J24" s="171">
        <v>166.94</v>
      </c>
      <c r="K24" s="172">
        <f>ROUND(E24*J24,2)</f>
        <v>3505.74</v>
      </c>
      <c r="L24" s="172">
        <v>21</v>
      </c>
      <c r="M24" s="172">
        <f>G24*(1+L24/100)</f>
        <v>6590.5916999999999</v>
      </c>
      <c r="N24" s="173">
        <v>6.8799999999999998E-3</v>
      </c>
      <c r="O24" s="173">
        <f>ROUND(E24*N24,5)</f>
        <v>0.14448</v>
      </c>
      <c r="P24" s="173">
        <v>0</v>
      </c>
      <c r="Q24" s="173">
        <f>ROUND(E24*P24,5)</f>
        <v>0</v>
      </c>
      <c r="R24" s="173"/>
      <c r="S24" s="173"/>
      <c r="T24" s="174">
        <v>0.39200000000000002</v>
      </c>
      <c r="U24" s="173">
        <f>ROUND(E24*T24,2)</f>
        <v>8.23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118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outlineLevel="1" x14ac:dyDescent="0.3">
      <c r="A25" s="166">
        <v>12</v>
      </c>
      <c r="B25" s="167" t="s">
        <v>141</v>
      </c>
      <c r="C25" s="168" t="s">
        <v>142</v>
      </c>
      <c r="D25" s="169" t="s">
        <v>123</v>
      </c>
      <c r="E25" s="170">
        <v>21</v>
      </c>
      <c r="F25" s="171">
        <v>17.97</v>
      </c>
      <c r="G25" s="172">
        <v>377.37</v>
      </c>
      <c r="H25" s="171">
        <v>0.44</v>
      </c>
      <c r="I25" s="172">
        <f>ROUND(E25*H25,2)</f>
        <v>9.24</v>
      </c>
      <c r="J25" s="171">
        <v>17.53</v>
      </c>
      <c r="K25" s="172">
        <f>ROUND(E25*J25,2)</f>
        <v>368.13</v>
      </c>
      <c r="L25" s="172">
        <v>21</v>
      </c>
      <c r="M25" s="172">
        <f>G25*(1+L25/100)</f>
        <v>456.61770000000001</v>
      </c>
      <c r="N25" s="173">
        <v>0</v>
      </c>
      <c r="O25" s="173">
        <f>ROUND(E25*N25,5)</f>
        <v>0</v>
      </c>
      <c r="P25" s="173">
        <v>0</v>
      </c>
      <c r="Q25" s="173">
        <f>ROUND(E25*P25,5)</f>
        <v>0</v>
      </c>
      <c r="R25" s="173"/>
      <c r="S25" s="173"/>
      <c r="T25" s="174">
        <v>3.2000000000000001E-2</v>
      </c>
      <c r="U25" s="173">
        <f>ROUND(E25*T25,2)</f>
        <v>0.67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118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3">
      <c r="A26" s="166">
        <v>13</v>
      </c>
      <c r="B26" s="167" t="s">
        <v>143</v>
      </c>
      <c r="C26" s="168" t="s">
        <v>144</v>
      </c>
      <c r="D26" s="169" t="s">
        <v>128</v>
      </c>
      <c r="E26" s="170">
        <v>0.15257999999999999</v>
      </c>
      <c r="F26" s="171">
        <v>1490.26</v>
      </c>
      <c r="G26" s="172">
        <v>228.01</v>
      </c>
      <c r="H26" s="171">
        <v>0</v>
      </c>
      <c r="I26" s="172">
        <f>ROUND(E26*H26,2)</f>
        <v>0</v>
      </c>
      <c r="J26" s="171">
        <v>1490.26</v>
      </c>
      <c r="K26" s="172">
        <f>ROUND(E26*J26,2)</f>
        <v>227.38</v>
      </c>
      <c r="L26" s="172">
        <v>21</v>
      </c>
      <c r="M26" s="172">
        <f>G26*(1+L26/100)</f>
        <v>275.89209999999997</v>
      </c>
      <c r="N26" s="173">
        <v>0</v>
      </c>
      <c r="O26" s="173">
        <f>ROUND(E26*N26,5)</f>
        <v>0</v>
      </c>
      <c r="P26" s="173">
        <v>0</v>
      </c>
      <c r="Q26" s="173">
        <f>ROUND(E26*P26,5)</f>
        <v>0</v>
      </c>
      <c r="R26" s="173"/>
      <c r="S26" s="173"/>
      <c r="T26" s="174">
        <v>3.5630000000000002</v>
      </c>
      <c r="U26" s="173">
        <f>ROUND(E26*T26,2)</f>
        <v>0.54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118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x14ac:dyDescent="0.3">
      <c r="A27" s="176" t="s">
        <v>113</v>
      </c>
      <c r="B27" s="177" t="s">
        <v>78</v>
      </c>
      <c r="C27" s="178" t="s">
        <v>79</v>
      </c>
      <c r="D27" s="179"/>
      <c r="E27" s="180"/>
      <c r="F27" s="181"/>
      <c r="G27" s="181">
        <f>SUMIF(AE28:AE37,"&lt;&gt;NOR",G28:G37)</f>
        <v>15469.68</v>
      </c>
      <c r="H27" s="181"/>
      <c r="I27" s="181">
        <f>SUM(I28:I37)</f>
        <v>2357.3000000000002</v>
      </c>
      <c r="J27" s="181"/>
      <c r="K27" s="181">
        <f>SUM(K28:K37)</f>
        <v>13112.77</v>
      </c>
      <c r="L27" s="181"/>
      <c r="M27" s="181">
        <f>SUM(M28:M37)</f>
        <v>18718.3128</v>
      </c>
      <c r="N27" s="182"/>
      <c r="O27" s="182">
        <f>SUM(O28:O37)</f>
        <v>8.4999999999999989E-3</v>
      </c>
      <c r="P27" s="182"/>
      <c r="Q27" s="182">
        <f>SUM(Q28:Q37)</f>
        <v>6.7150000000000001E-2</v>
      </c>
      <c r="R27" s="182"/>
      <c r="S27" s="182"/>
      <c r="T27" s="183"/>
      <c r="U27" s="182">
        <f>SUM(U28:U37)</f>
        <v>26.27</v>
      </c>
      <c r="AE27" t="s">
        <v>114</v>
      </c>
    </row>
    <row r="28" spans="1:60" outlineLevel="1" x14ac:dyDescent="0.3">
      <c r="A28" s="166">
        <v>14</v>
      </c>
      <c r="B28" s="167" t="s">
        <v>145</v>
      </c>
      <c r="C28" s="168" t="s">
        <v>146</v>
      </c>
      <c r="D28" s="169" t="s">
        <v>117</v>
      </c>
      <c r="E28" s="170">
        <v>10</v>
      </c>
      <c r="F28" s="171">
        <v>93.17</v>
      </c>
      <c r="G28" s="172">
        <v>931.7</v>
      </c>
      <c r="H28" s="171">
        <v>3.05</v>
      </c>
      <c r="I28" s="172">
        <f t="shared" ref="I28:I37" si="0">ROUND(E28*H28,2)</f>
        <v>30.5</v>
      </c>
      <c r="J28" s="171">
        <v>90.12</v>
      </c>
      <c r="K28" s="172">
        <f t="shared" ref="K28:K37" si="1">ROUND(E28*J28,2)</f>
        <v>901.2</v>
      </c>
      <c r="L28" s="172">
        <v>21</v>
      </c>
      <c r="M28" s="172">
        <f t="shared" ref="M28:M37" si="2">G28*(1+L28/100)</f>
        <v>1127.357</v>
      </c>
      <c r="N28" s="173">
        <v>0</v>
      </c>
      <c r="O28" s="173">
        <f t="shared" ref="O28:O37" si="3">ROUND(E28*N28,5)</f>
        <v>0</v>
      </c>
      <c r="P28" s="173">
        <v>0</v>
      </c>
      <c r="Q28" s="173">
        <f t="shared" ref="Q28:Q37" si="4">ROUND(E28*P28,5)</f>
        <v>0</v>
      </c>
      <c r="R28" s="173"/>
      <c r="S28" s="173"/>
      <c r="T28" s="174">
        <v>0.16500000000000001</v>
      </c>
      <c r="U28" s="173">
        <f t="shared" ref="U28:U37" si="5">ROUND(E28*T28,2)</f>
        <v>1.65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118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3">
      <c r="A29" s="166">
        <v>15</v>
      </c>
      <c r="B29" s="167" t="s">
        <v>147</v>
      </c>
      <c r="C29" s="168" t="s">
        <v>148</v>
      </c>
      <c r="D29" s="169" t="s">
        <v>117</v>
      </c>
      <c r="E29" s="170">
        <v>32</v>
      </c>
      <c r="F29" s="171">
        <v>93.97</v>
      </c>
      <c r="G29" s="172">
        <v>3007.04</v>
      </c>
      <c r="H29" s="171">
        <v>3.82</v>
      </c>
      <c r="I29" s="172">
        <f t="shared" si="0"/>
        <v>122.24</v>
      </c>
      <c r="J29" s="171">
        <v>90.15</v>
      </c>
      <c r="K29" s="172">
        <f t="shared" si="1"/>
        <v>2884.8</v>
      </c>
      <c r="L29" s="172">
        <v>21</v>
      </c>
      <c r="M29" s="172">
        <f t="shared" si="2"/>
        <v>3638.5183999999999</v>
      </c>
      <c r="N29" s="173">
        <v>0</v>
      </c>
      <c r="O29" s="173">
        <f t="shared" si="3"/>
        <v>0</v>
      </c>
      <c r="P29" s="173">
        <v>0</v>
      </c>
      <c r="Q29" s="173">
        <f t="shared" si="4"/>
        <v>0</v>
      </c>
      <c r="R29" s="173"/>
      <c r="S29" s="173"/>
      <c r="T29" s="174">
        <v>0.16500000000000001</v>
      </c>
      <c r="U29" s="173">
        <f t="shared" si="5"/>
        <v>5.28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118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3">
      <c r="A30" s="166">
        <v>16</v>
      </c>
      <c r="B30" s="167" t="s">
        <v>149</v>
      </c>
      <c r="C30" s="168" t="s">
        <v>150</v>
      </c>
      <c r="D30" s="169" t="s">
        <v>117</v>
      </c>
      <c r="E30" s="170">
        <v>8</v>
      </c>
      <c r="F30" s="171">
        <v>117.17</v>
      </c>
      <c r="G30" s="172">
        <v>937.36</v>
      </c>
      <c r="H30" s="171">
        <v>4.87</v>
      </c>
      <c r="I30" s="172">
        <f t="shared" si="0"/>
        <v>38.96</v>
      </c>
      <c r="J30" s="171">
        <v>112.3</v>
      </c>
      <c r="K30" s="172">
        <f t="shared" si="1"/>
        <v>898.4</v>
      </c>
      <c r="L30" s="172">
        <v>21</v>
      </c>
      <c r="M30" s="172">
        <f t="shared" si="2"/>
        <v>1134.2056</v>
      </c>
      <c r="N30" s="173">
        <v>0</v>
      </c>
      <c r="O30" s="173">
        <f t="shared" si="3"/>
        <v>0</v>
      </c>
      <c r="P30" s="173">
        <v>0</v>
      </c>
      <c r="Q30" s="173">
        <f t="shared" si="4"/>
        <v>0</v>
      </c>
      <c r="R30" s="173"/>
      <c r="S30" s="173"/>
      <c r="T30" s="174">
        <v>0.20599999999999999</v>
      </c>
      <c r="U30" s="173">
        <f t="shared" si="5"/>
        <v>1.65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118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3">
      <c r="A31" s="166">
        <v>17</v>
      </c>
      <c r="B31" s="167" t="s">
        <v>151</v>
      </c>
      <c r="C31" s="168" t="s">
        <v>152</v>
      </c>
      <c r="D31" s="169" t="s">
        <v>117</v>
      </c>
      <c r="E31" s="170">
        <v>2</v>
      </c>
      <c r="F31" s="171">
        <v>249.13</v>
      </c>
      <c r="G31" s="172">
        <v>498.26</v>
      </c>
      <c r="H31" s="171">
        <v>194.44</v>
      </c>
      <c r="I31" s="172">
        <f t="shared" si="0"/>
        <v>388.88</v>
      </c>
      <c r="J31" s="171">
        <v>54.69</v>
      </c>
      <c r="K31" s="172">
        <f t="shared" si="1"/>
        <v>109.38</v>
      </c>
      <c r="L31" s="172">
        <v>21</v>
      </c>
      <c r="M31" s="172">
        <f t="shared" si="2"/>
        <v>602.89459999999997</v>
      </c>
      <c r="N31" s="173">
        <v>2.5999999999999998E-4</v>
      </c>
      <c r="O31" s="173">
        <f t="shared" si="3"/>
        <v>5.1999999999999995E-4</v>
      </c>
      <c r="P31" s="173">
        <v>0</v>
      </c>
      <c r="Q31" s="173">
        <f t="shared" si="4"/>
        <v>0</v>
      </c>
      <c r="R31" s="173"/>
      <c r="S31" s="173"/>
      <c r="T31" s="174">
        <v>8.2000000000000003E-2</v>
      </c>
      <c r="U31" s="173">
        <f t="shared" si="5"/>
        <v>0.16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118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22.5" outlineLevel="1" x14ac:dyDescent="0.3">
      <c r="A32" s="166">
        <v>18</v>
      </c>
      <c r="B32" s="167" t="s">
        <v>153</v>
      </c>
      <c r="C32" s="168" t="s">
        <v>154</v>
      </c>
      <c r="D32" s="169" t="s">
        <v>117</v>
      </c>
      <c r="E32" s="170">
        <v>2</v>
      </c>
      <c r="F32" s="171">
        <v>403.85</v>
      </c>
      <c r="G32" s="172">
        <v>807.7</v>
      </c>
      <c r="H32" s="171">
        <v>0</v>
      </c>
      <c r="I32" s="172">
        <f t="shared" si="0"/>
        <v>0</v>
      </c>
      <c r="J32" s="171">
        <v>403.85</v>
      </c>
      <c r="K32" s="172">
        <f t="shared" si="1"/>
        <v>807.7</v>
      </c>
      <c r="L32" s="172">
        <v>21</v>
      </c>
      <c r="M32" s="172">
        <f t="shared" si="2"/>
        <v>977.31700000000001</v>
      </c>
      <c r="N32" s="173">
        <v>2.0000000000000001E-4</v>
      </c>
      <c r="O32" s="173">
        <f t="shared" si="3"/>
        <v>4.0000000000000002E-4</v>
      </c>
      <c r="P32" s="173">
        <v>0</v>
      </c>
      <c r="Q32" s="173">
        <f t="shared" si="4"/>
        <v>0</v>
      </c>
      <c r="R32" s="173"/>
      <c r="S32" s="173"/>
      <c r="T32" s="174">
        <v>0</v>
      </c>
      <c r="U32" s="173">
        <f t="shared" si="5"/>
        <v>0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155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 x14ac:dyDescent="0.3">
      <c r="A33" s="166">
        <v>19</v>
      </c>
      <c r="B33" s="167" t="s">
        <v>156</v>
      </c>
      <c r="C33" s="168" t="s">
        <v>157</v>
      </c>
      <c r="D33" s="169" t="s">
        <v>117</v>
      </c>
      <c r="E33" s="170">
        <v>29</v>
      </c>
      <c r="F33" s="171">
        <v>39.36</v>
      </c>
      <c r="G33" s="172">
        <v>1141.44</v>
      </c>
      <c r="H33" s="171">
        <v>0</v>
      </c>
      <c r="I33" s="172">
        <f t="shared" si="0"/>
        <v>0</v>
      </c>
      <c r="J33" s="171">
        <v>39.36</v>
      </c>
      <c r="K33" s="172">
        <f t="shared" si="1"/>
        <v>1141.44</v>
      </c>
      <c r="L33" s="172">
        <v>21</v>
      </c>
      <c r="M33" s="172">
        <f t="shared" si="2"/>
        <v>1381.1424</v>
      </c>
      <c r="N33" s="173">
        <v>0</v>
      </c>
      <c r="O33" s="173">
        <f t="shared" si="3"/>
        <v>0</v>
      </c>
      <c r="P33" s="173">
        <v>0</v>
      </c>
      <c r="Q33" s="173">
        <f t="shared" si="4"/>
        <v>0</v>
      </c>
      <c r="R33" s="173"/>
      <c r="S33" s="173"/>
      <c r="T33" s="174">
        <v>0.14399999999999999</v>
      </c>
      <c r="U33" s="173">
        <f t="shared" si="5"/>
        <v>4.18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118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3">
      <c r="A34" s="166">
        <v>20</v>
      </c>
      <c r="B34" s="167" t="s">
        <v>158</v>
      </c>
      <c r="C34" s="168" t="s">
        <v>159</v>
      </c>
      <c r="D34" s="169" t="s">
        <v>128</v>
      </c>
      <c r="E34" s="170">
        <v>0.12920000000000001</v>
      </c>
      <c r="F34" s="171">
        <v>1077.31</v>
      </c>
      <c r="G34" s="172">
        <v>138.97</v>
      </c>
      <c r="H34" s="171">
        <v>0</v>
      </c>
      <c r="I34" s="172">
        <f t="shared" si="0"/>
        <v>0</v>
      </c>
      <c r="J34" s="171">
        <v>1077.31</v>
      </c>
      <c r="K34" s="172">
        <f t="shared" si="1"/>
        <v>139.19</v>
      </c>
      <c r="L34" s="172">
        <v>21</v>
      </c>
      <c r="M34" s="172">
        <f t="shared" si="2"/>
        <v>168.15369999999999</v>
      </c>
      <c r="N34" s="173">
        <v>0</v>
      </c>
      <c r="O34" s="173">
        <f t="shared" si="3"/>
        <v>0</v>
      </c>
      <c r="P34" s="173">
        <v>0</v>
      </c>
      <c r="Q34" s="173">
        <f t="shared" si="4"/>
        <v>0</v>
      </c>
      <c r="R34" s="173"/>
      <c r="S34" s="173"/>
      <c r="T34" s="174">
        <v>2.5750000000000002</v>
      </c>
      <c r="U34" s="173">
        <f t="shared" si="5"/>
        <v>0.33</v>
      </c>
      <c r="V34" s="175"/>
      <c r="W34" s="175"/>
      <c r="X34" s="175"/>
      <c r="Y34" s="175"/>
      <c r="Z34" s="175"/>
      <c r="AA34" s="175"/>
      <c r="AB34" s="175"/>
      <c r="AC34" s="175"/>
      <c r="AD34" s="175"/>
      <c r="AE34" s="175" t="s">
        <v>118</v>
      </c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3">
      <c r="A35" s="166">
        <v>21</v>
      </c>
      <c r="B35" s="167" t="s">
        <v>160</v>
      </c>
      <c r="C35" s="168" t="s">
        <v>161</v>
      </c>
      <c r="D35" s="169" t="s">
        <v>117</v>
      </c>
      <c r="E35" s="170">
        <v>50</v>
      </c>
      <c r="F35" s="171">
        <v>139.91999999999999</v>
      </c>
      <c r="G35" s="172">
        <v>6996</v>
      </c>
      <c r="H35" s="171">
        <v>30.21</v>
      </c>
      <c r="I35" s="172">
        <f t="shared" si="0"/>
        <v>1510.5</v>
      </c>
      <c r="J35" s="171">
        <v>109.71</v>
      </c>
      <c r="K35" s="172">
        <f t="shared" si="1"/>
        <v>5485.5</v>
      </c>
      <c r="L35" s="172">
        <v>21</v>
      </c>
      <c r="M35" s="172">
        <f t="shared" si="2"/>
        <v>8465.16</v>
      </c>
      <c r="N35" s="173">
        <v>1.2999999999999999E-4</v>
      </c>
      <c r="O35" s="173">
        <f t="shared" si="3"/>
        <v>6.4999999999999997E-3</v>
      </c>
      <c r="P35" s="173">
        <v>1.1000000000000001E-3</v>
      </c>
      <c r="Q35" s="173">
        <f t="shared" si="4"/>
        <v>5.5E-2</v>
      </c>
      <c r="R35" s="173"/>
      <c r="S35" s="173"/>
      <c r="T35" s="174">
        <v>0.22900000000000001</v>
      </c>
      <c r="U35" s="173">
        <f t="shared" si="5"/>
        <v>11.45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118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22.5" outlineLevel="1" x14ac:dyDescent="0.3">
      <c r="A36" s="166">
        <v>22</v>
      </c>
      <c r="B36" s="167" t="s">
        <v>162</v>
      </c>
      <c r="C36" s="168" t="s">
        <v>163</v>
      </c>
      <c r="D36" s="169" t="s">
        <v>117</v>
      </c>
      <c r="E36" s="170">
        <v>27</v>
      </c>
      <c r="F36" s="171">
        <v>34.700000000000003</v>
      </c>
      <c r="G36" s="172">
        <v>936.9</v>
      </c>
      <c r="H36" s="171">
        <v>9.86</v>
      </c>
      <c r="I36" s="172">
        <f t="shared" si="0"/>
        <v>266.22000000000003</v>
      </c>
      <c r="J36" s="171">
        <v>24.84</v>
      </c>
      <c r="K36" s="172">
        <f t="shared" si="1"/>
        <v>670.68</v>
      </c>
      <c r="L36" s="172">
        <v>21</v>
      </c>
      <c r="M36" s="172">
        <f t="shared" si="2"/>
        <v>1133.6489999999999</v>
      </c>
      <c r="N36" s="173">
        <v>4.0000000000000003E-5</v>
      </c>
      <c r="O36" s="173">
        <f t="shared" si="3"/>
        <v>1.08E-3</v>
      </c>
      <c r="P36" s="173">
        <v>4.4999999999999999E-4</v>
      </c>
      <c r="Q36" s="173">
        <f t="shared" si="4"/>
        <v>1.2149999999999999E-2</v>
      </c>
      <c r="R36" s="173"/>
      <c r="S36" s="173"/>
      <c r="T36" s="174">
        <v>5.1999999999999998E-2</v>
      </c>
      <c r="U36" s="173">
        <f t="shared" si="5"/>
        <v>1.4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118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ht="22.5" outlineLevel="1" x14ac:dyDescent="0.3">
      <c r="A37" s="166">
        <v>23</v>
      </c>
      <c r="B37" s="167" t="s">
        <v>164</v>
      </c>
      <c r="C37" s="168" t="s">
        <v>165</v>
      </c>
      <c r="D37" s="169" t="s">
        <v>128</v>
      </c>
      <c r="E37" s="170">
        <v>6.7150000000000001E-2</v>
      </c>
      <c r="F37" s="171">
        <v>1109.1600000000001</v>
      </c>
      <c r="G37" s="172">
        <v>74.31</v>
      </c>
      <c r="H37" s="171">
        <v>0</v>
      </c>
      <c r="I37" s="172">
        <f t="shared" si="0"/>
        <v>0</v>
      </c>
      <c r="J37" s="171">
        <v>1109.1600000000001</v>
      </c>
      <c r="K37" s="172">
        <f t="shared" si="1"/>
        <v>74.48</v>
      </c>
      <c r="L37" s="172">
        <v>21</v>
      </c>
      <c r="M37" s="172">
        <f t="shared" si="2"/>
        <v>89.915099999999995</v>
      </c>
      <c r="N37" s="173">
        <v>0</v>
      </c>
      <c r="O37" s="173">
        <f t="shared" si="3"/>
        <v>0</v>
      </c>
      <c r="P37" s="173">
        <v>0</v>
      </c>
      <c r="Q37" s="173">
        <f t="shared" si="4"/>
        <v>0</v>
      </c>
      <c r="R37" s="173"/>
      <c r="S37" s="173"/>
      <c r="T37" s="174">
        <v>2.5750000000000002</v>
      </c>
      <c r="U37" s="173">
        <f t="shared" si="5"/>
        <v>0.17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118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x14ac:dyDescent="0.3">
      <c r="A38" s="176" t="s">
        <v>113</v>
      </c>
      <c r="B38" s="177" t="s">
        <v>80</v>
      </c>
      <c r="C38" s="178" t="s">
        <v>81</v>
      </c>
      <c r="D38" s="179"/>
      <c r="E38" s="180"/>
      <c r="F38" s="181"/>
      <c r="G38" s="181">
        <f>SUMIF(AE39:AE53,"&lt;&gt;NOR",G39:G53)</f>
        <v>60585.119999999995</v>
      </c>
      <c r="H38" s="181"/>
      <c r="I38" s="181">
        <f>SUM(I39:I53)</f>
        <v>0</v>
      </c>
      <c r="J38" s="181"/>
      <c r="K38" s="181">
        <f>SUM(K39:K53)</f>
        <v>60585.359999999993</v>
      </c>
      <c r="L38" s="181"/>
      <c r="M38" s="181">
        <f>SUM(M39:M53)</f>
        <v>73307.99519999999</v>
      </c>
      <c r="N38" s="182"/>
      <c r="O38" s="182">
        <f>SUM(O39:O53)</f>
        <v>2.8152500000000003</v>
      </c>
      <c r="P38" s="182"/>
      <c r="Q38" s="182">
        <f>SUM(Q39:Q53)</f>
        <v>4.1204599999999996</v>
      </c>
      <c r="R38" s="182"/>
      <c r="S38" s="182"/>
      <c r="T38" s="183"/>
      <c r="U38" s="182">
        <f>SUM(U39:U53)</f>
        <v>107.46</v>
      </c>
      <c r="AE38" t="s">
        <v>114</v>
      </c>
    </row>
    <row r="39" spans="1:60" outlineLevel="1" x14ac:dyDescent="0.3">
      <c r="A39" s="166">
        <v>24</v>
      </c>
      <c r="B39" s="167" t="s">
        <v>166</v>
      </c>
      <c r="C39" s="168" t="s">
        <v>167</v>
      </c>
      <c r="D39" s="169" t="s">
        <v>168</v>
      </c>
      <c r="E39" s="170">
        <v>169.2</v>
      </c>
      <c r="F39" s="171">
        <v>14.79</v>
      </c>
      <c r="G39" s="172">
        <v>2502.4699999999998</v>
      </c>
      <c r="H39" s="171">
        <v>0</v>
      </c>
      <c r="I39" s="172">
        <f t="shared" ref="I39:I53" si="6">ROUND(E39*H39,2)</f>
        <v>0</v>
      </c>
      <c r="J39" s="171">
        <v>14.79</v>
      </c>
      <c r="K39" s="172">
        <f t="shared" ref="K39:K53" si="7">ROUND(E39*J39,2)</f>
        <v>2502.4699999999998</v>
      </c>
      <c r="L39" s="172">
        <v>21</v>
      </c>
      <c r="M39" s="172">
        <f t="shared" ref="M39:M53" si="8">G39*(1+L39/100)</f>
        <v>3027.9886999999999</v>
      </c>
      <c r="N39" s="173">
        <v>0</v>
      </c>
      <c r="O39" s="173">
        <f t="shared" ref="O39:O53" si="9">ROUND(E39*N39,5)</f>
        <v>0</v>
      </c>
      <c r="P39" s="173">
        <v>0</v>
      </c>
      <c r="Q39" s="173">
        <f t="shared" ref="Q39:Q53" si="10">ROUND(E39*P39,5)</f>
        <v>0</v>
      </c>
      <c r="R39" s="173"/>
      <c r="S39" s="173"/>
      <c r="T39" s="174">
        <v>3.1E-2</v>
      </c>
      <c r="U39" s="173">
        <f t="shared" ref="U39:U53" si="11">ROUND(E39*T39,2)</f>
        <v>5.25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118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3">
      <c r="A40" s="166">
        <v>25</v>
      </c>
      <c r="B40" s="167" t="s">
        <v>169</v>
      </c>
      <c r="C40" s="168" t="s">
        <v>170</v>
      </c>
      <c r="D40" s="169" t="s">
        <v>168</v>
      </c>
      <c r="E40" s="170">
        <v>169.2</v>
      </c>
      <c r="F40" s="171">
        <v>29.69</v>
      </c>
      <c r="G40" s="172">
        <v>5023.55</v>
      </c>
      <c r="H40" s="171">
        <v>0</v>
      </c>
      <c r="I40" s="172">
        <f t="shared" si="6"/>
        <v>0</v>
      </c>
      <c r="J40" s="171">
        <v>29.69</v>
      </c>
      <c r="K40" s="172">
        <f t="shared" si="7"/>
        <v>5023.55</v>
      </c>
      <c r="L40" s="172">
        <v>21</v>
      </c>
      <c r="M40" s="172">
        <f t="shared" si="8"/>
        <v>6078.4955</v>
      </c>
      <c r="N40" s="173">
        <v>1.6250000000000001E-2</v>
      </c>
      <c r="O40" s="173">
        <f t="shared" si="9"/>
        <v>2.7494999999999998</v>
      </c>
      <c r="P40" s="173">
        <v>0</v>
      </c>
      <c r="Q40" s="173">
        <f t="shared" si="10"/>
        <v>0</v>
      </c>
      <c r="R40" s="173"/>
      <c r="S40" s="173"/>
      <c r="T40" s="174">
        <v>6.2E-2</v>
      </c>
      <c r="U40" s="173">
        <f t="shared" si="11"/>
        <v>10.49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118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ht="22.5" outlineLevel="1" x14ac:dyDescent="0.3">
      <c r="A41" s="166">
        <v>26</v>
      </c>
      <c r="B41" s="167" t="s">
        <v>171</v>
      </c>
      <c r="C41" s="168" t="s">
        <v>172</v>
      </c>
      <c r="D41" s="169" t="s">
        <v>117</v>
      </c>
      <c r="E41" s="170">
        <v>2</v>
      </c>
      <c r="F41" s="171">
        <v>179.74</v>
      </c>
      <c r="G41" s="172">
        <v>359.48</v>
      </c>
      <c r="H41" s="171">
        <v>0</v>
      </c>
      <c r="I41" s="172">
        <f t="shared" si="6"/>
        <v>0</v>
      </c>
      <c r="J41" s="171">
        <v>179.74</v>
      </c>
      <c r="K41" s="172">
        <f t="shared" si="7"/>
        <v>359.48</v>
      </c>
      <c r="L41" s="172">
        <v>21</v>
      </c>
      <c r="M41" s="172">
        <f t="shared" si="8"/>
        <v>434.9708</v>
      </c>
      <c r="N41" s="173">
        <v>1.2999999999999999E-4</v>
      </c>
      <c r="O41" s="173">
        <f t="shared" si="9"/>
        <v>2.5999999999999998E-4</v>
      </c>
      <c r="P41" s="173">
        <v>0</v>
      </c>
      <c r="Q41" s="173">
        <f t="shared" si="10"/>
        <v>0</v>
      </c>
      <c r="R41" s="173"/>
      <c r="S41" s="173"/>
      <c r="T41" s="174">
        <v>0.36</v>
      </c>
      <c r="U41" s="173">
        <f t="shared" si="11"/>
        <v>0.72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118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ht="22.5" outlineLevel="1" x14ac:dyDescent="0.3">
      <c r="A42" s="166">
        <v>27</v>
      </c>
      <c r="B42" s="167" t="s">
        <v>173</v>
      </c>
      <c r="C42" s="168" t="s">
        <v>174</v>
      </c>
      <c r="D42" s="169" t="s">
        <v>117</v>
      </c>
      <c r="E42" s="170">
        <v>1</v>
      </c>
      <c r="F42" s="171">
        <v>4386.67</v>
      </c>
      <c r="G42" s="172">
        <v>4386.67</v>
      </c>
      <c r="H42" s="171">
        <v>0</v>
      </c>
      <c r="I42" s="172">
        <f t="shared" si="6"/>
        <v>0</v>
      </c>
      <c r="J42" s="171">
        <v>4386.67</v>
      </c>
      <c r="K42" s="172">
        <f t="shared" si="7"/>
        <v>4386.67</v>
      </c>
      <c r="L42" s="172">
        <v>21</v>
      </c>
      <c r="M42" s="172">
        <f t="shared" si="8"/>
        <v>5307.8706999999995</v>
      </c>
      <c r="N42" s="173">
        <v>2.5919999999999999E-2</v>
      </c>
      <c r="O42" s="173">
        <f t="shared" si="9"/>
        <v>2.5919999999999999E-2</v>
      </c>
      <c r="P42" s="173">
        <v>0</v>
      </c>
      <c r="Q42" s="173">
        <f t="shared" si="10"/>
        <v>0</v>
      </c>
      <c r="R42" s="173"/>
      <c r="S42" s="173"/>
      <c r="T42" s="174">
        <v>0.876</v>
      </c>
      <c r="U42" s="173">
        <f t="shared" si="11"/>
        <v>0.88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118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ht="22.5" outlineLevel="1" x14ac:dyDescent="0.3">
      <c r="A43" s="166">
        <v>28</v>
      </c>
      <c r="B43" s="167" t="s">
        <v>175</v>
      </c>
      <c r="C43" s="168" t="s">
        <v>176</v>
      </c>
      <c r="D43" s="169" t="s">
        <v>117</v>
      </c>
      <c r="E43" s="170">
        <v>1</v>
      </c>
      <c r="F43" s="171">
        <v>6520.73</v>
      </c>
      <c r="G43" s="172">
        <v>6520.73</v>
      </c>
      <c r="H43" s="171">
        <v>0</v>
      </c>
      <c r="I43" s="172">
        <f t="shared" si="6"/>
        <v>0</v>
      </c>
      <c r="J43" s="171">
        <v>6520.73</v>
      </c>
      <c r="K43" s="172">
        <f t="shared" si="7"/>
        <v>6520.73</v>
      </c>
      <c r="L43" s="172">
        <v>21</v>
      </c>
      <c r="M43" s="172">
        <f t="shared" si="8"/>
        <v>7890.0832999999993</v>
      </c>
      <c r="N43" s="173">
        <v>3.9410000000000001E-2</v>
      </c>
      <c r="O43" s="173">
        <f t="shared" si="9"/>
        <v>3.9410000000000001E-2</v>
      </c>
      <c r="P43" s="173">
        <v>0</v>
      </c>
      <c r="Q43" s="173">
        <f t="shared" si="10"/>
        <v>0</v>
      </c>
      <c r="R43" s="173"/>
      <c r="S43" s="173"/>
      <c r="T43" s="174">
        <v>0.95099999999999996</v>
      </c>
      <c r="U43" s="173">
        <f t="shared" si="11"/>
        <v>0.95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118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ht="22.5" outlineLevel="1" x14ac:dyDescent="0.3">
      <c r="A44" s="166">
        <v>29</v>
      </c>
      <c r="B44" s="167" t="s">
        <v>177</v>
      </c>
      <c r="C44" s="168" t="s">
        <v>178</v>
      </c>
      <c r="D44" s="169" t="s">
        <v>168</v>
      </c>
      <c r="E44" s="170">
        <v>190</v>
      </c>
      <c r="F44" s="171">
        <v>14.79</v>
      </c>
      <c r="G44" s="172">
        <v>2810.1</v>
      </c>
      <c r="H44" s="171">
        <v>0</v>
      </c>
      <c r="I44" s="172">
        <f t="shared" si="6"/>
        <v>0</v>
      </c>
      <c r="J44" s="171">
        <v>14.79</v>
      </c>
      <c r="K44" s="172">
        <f t="shared" si="7"/>
        <v>2810.1</v>
      </c>
      <c r="L44" s="172">
        <v>21</v>
      </c>
      <c r="M44" s="172">
        <f t="shared" si="8"/>
        <v>3400.221</v>
      </c>
      <c r="N44" s="173">
        <v>0</v>
      </c>
      <c r="O44" s="173">
        <f t="shared" si="9"/>
        <v>0</v>
      </c>
      <c r="P44" s="173">
        <v>0</v>
      </c>
      <c r="Q44" s="173">
        <f t="shared" si="10"/>
        <v>0</v>
      </c>
      <c r="R44" s="173"/>
      <c r="S44" s="173"/>
      <c r="T44" s="174">
        <v>3.1E-2</v>
      </c>
      <c r="U44" s="173">
        <f t="shared" si="11"/>
        <v>5.89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118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3">
      <c r="A45" s="166">
        <v>30</v>
      </c>
      <c r="B45" s="167" t="s">
        <v>179</v>
      </c>
      <c r="C45" s="168" t="s">
        <v>180</v>
      </c>
      <c r="D45" s="169" t="s">
        <v>117</v>
      </c>
      <c r="E45" s="170">
        <v>29</v>
      </c>
      <c r="F45" s="171">
        <v>29.69</v>
      </c>
      <c r="G45" s="172">
        <v>861.01</v>
      </c>
      <c r="H45" s="171">
        <v>0</v>
      </c>
      <c r="I45" s="172">
        <f t="shared" si="6"/>
        <v>0</v>
      </c>
      <c r="J45" s="171">
        <v>29.69</v>
      </c>
      <c r="K45" s="172">
        <f t="shared" si="7"/>
        <v>861.01</v>
      </c>
      <c r="L45" s="172">
        <v>21</v>
      </c>
      <c r="M45" s="172">
        <f t="shared" si="8"/>
        <v>1041.8220999999999</v>
      </c>
      <c r="N45" s="173">
        <v>0</v>
      </c>
      <c r="O45" s="173">
        <f t="shared" si="9"/>
        <v>0</v>
      </c>
      <c r="P45" s="173">
        <v>0</v>
      </c>
      <c r="Q45" s="173">
        <f t="shared" si="10"/>
        <v>0</v>
      </c>
      <c r="R45" s="173"/>
      <c r="S45" s="173"/>
      <c r="T45" s="174">
        <v>6.2E-2</v>
      </c>
      <c r="U45" s="173">
        <f t="shared" si="11"/>
        <v>1.8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118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 x14ac:dyDescent="0.3">
      <c r="A46" s="166">
        <v>31</v>
      </c>
      <c r="B46" s="167" t="s">
        <v>181</v>
      </c>
      <c r="C46" s="168" t="s">
        <v>182</v>
      </c>
      <c r="D46" s="169" t="s">
        <v>168</v>
      </c>
      <c r="E46" s="170">
        <v>169.2</v>
      </c>
      <c r="F46" s="171">
        <v>64.05</v>
      </c>
      <c r="G46" s="172">
        <v>10837.26</v>
      </c>
      <c r="H46" s="171">
        <v>0</v>
      </c>
      <c r="I46" s="172">
        <f t="shared" si="6"/>
        <v>0</v>
      </c>
      <c r="J46" s="171">
        <v>64.05</v>
      </c>
      <c r="K46" s="172">
        <f t="shared" si="7"/>
        <v>10837.26</v>
      </c>
      <c r="L46" s="172">
        <v>21</v>
      </c>
      <c r="M46" s="172">
        <f t="shared" si="8"/>
        <v>13113.0846</v>
      </c>
      <c r="N46" s="173">
        <v>0</v>
      </c>
      <c r="O46" s="173">
        <f t="shared" si="9"/>
        <v>0</v>
      </c>
      <c r="P46" s="173">
        <v>0</v>
      </c>
      <c r="Q46" s="173">
        <f t="shared" si="10"/>
        <v>0</v>
      </c>
      <c r="R46" s="173"/>
      <c r="S46" s="173"/>
      <c r="T46" s="174">
        <v>0.13400000000000001</v>
      </c>
      <c r="U46" s="173">
        <f t="shared" si="11"/>
        <v>22.67</v>
      </c>
      <c r="V46" s="175"/>
      <c r="W46" s="175"/>
      <c r="X46" s="175"/>
      <c r="Y46" s="175"/>
      <c r="Z46" s="175"/>
      <c r="AA46" s="175"/>
      <c r="AB46" s="175"/>
      <c r="AC46" s="175"/>
      <c r="AD46" s="175"/>
      <c r="AE46" s="175" t="s">
        <v>118</v>
      </c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ht="22.5" outlineLevel="1" x14ac:dyDescent="0.3">
      <c r="A47" s="166">
        <v>32</v>
      </c>
      <c r="B47" s="167" t="s">
        <v>183</v>
      </c>
      <c r="C47" s="168" t="s">
        <v>184</v>
      </c>
      <c r="D47" s="169" t="s">
        <v>117</v>
      </c>
      <c r="E47" s="170">
        <v>29</v>
      </c>
      <c r="F47" s="171">
        <v>146.75</v>
      </c>
      <c r="G47" s="172">
        <v>4255.75</v>
      </c>
      <c r="H47" s="171">
        <v>0</v>
      </c>
      <c r="I47" s="172">
        <f t="shared" si="6"/>
        <v>0</v>
      </c>
      <c r="J47" s="171">
        <v>146.75</v>
      </c>
      <c r="K47" s="172">
        <f t="shared" si="7"/>
        <v>4255.75</v>
      </c>
      <c r="L47" s="172">
        <v>21</v>
      </c>
      <c r="M47" s="172">
        <f t="shared" si="8"/>
        <v>5149.4574999999995</v>
      </c>
      <c r="N47" s="173">
        <v>0</v>
      </c>
      <c r="O47" s="173">
        <f t="shared" si="9"/>
        <v>0</v>
      </c>
      <c r="P47" s="173">
        <v>0</v>
      </c>
      <c r="Q47" s="173">
        <f t="shared" si="10"/>
        <v>0</v>
      </c>
      <c r="R47" s="173"/>
      <c r="S47" s="173"/>
      <c r="T47" s="174">
        <v>0.26800000000000002</v>
      </c>
      <c r="U47" s="173">
        <f t="shared" si="11"/>
        <v>7.77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118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ht="22.5" outlineLevel="1" x14ac:dyDescent="0.3">
      <c r="A48" s="166">
        <v>33</v>
      </c>
      <c r="B48" s="167" t="s">
        <v>185</v>
      </c>
      <c r="C48" s="168" t="s">
        <v>186</v>
      </c>
      <c r="D48" s="169" t="s">
        <v>168</v>
      </c>
      <c r="E48" s="170">
        <v>16</v>
      </c>
      <c r="F48" s="171">
        <v>59.27</v>
      </c>
      <c r="G48" s="172">
        <v>948.32</v>
      </c>
      <c r="H48" s="171">
        <v>0</v>
      </c>
      <c r="I48" s="172">
        <f t="shared" si="6"/>
        <v>0</v>
      </c>
      <c r="J48" s="171">
        <v>59.27</v>
      </c>
      <c r="K48" s="172">
        <f t="shared" si="7"/>
        <v>948.32</v>
      </c>
      <c r="L48" s="172">
        <v>21</v>
      </c>
      <c r="M48" s="172">
        <f t="shared" si="8"/>
        <v>1147.4672</v>
      </c>
      <c r="N48" s="173">
        <v>0</v>
      </c>
      <c r="O48" s="173">
        <f t="shared" si="9"/>
        <v>0</v>
      </c>
      <c r="P48" s="173">
        <v>0</v>
      </c>
      <c r="Q48" s="173">
        <f t="shared" si="10"/>
        <v>0</v>
      </c>
      <c r="R48" s="173"/>
      <c r="S48" s="173"/>
      <c r="T48" s="174">
        <v>0.124</v>
      </c>
      <c r="U48" s="173">
        <f t="shared" si="11"/>
        <v>1.98</v>
      </c>
      <c r="V48" s="175"/>
      <c r="W48" s="175"/>
      <c r="X48" s="175"/>
      <c r="Y48" s="175"/>
      <c r="Z48" s="175"/>
      <c r="AA48" s="175"/>
      <c r="AB48" s="175"/>
      <c r="AC48" s="175"/>
      <c r="AD48" s="175"/>
      <c r="AE48" s="175" t="s">
        <v>118</v>
      </c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ht="22.5" outlineLevel="1" x14ac:dyDescent="0.3">
      <c r="A49" s="166">
        <v>34</v>
      </c>
      <c r="B49" s="167" t="s">
        <v>187</v>
      </c>
      <c r="C49" s="168" t="s">
        <v>188</v>
      </c>
      <c r="D49" s="169" t="s">
        <v>128</v>
      </c>
      <c r="E49" s="170">
        <v>4.0927100000000003</v>
      </c>
      <c r="F49" s="171">
        <v>1274.1099999999999</v>
      </c>
      <c r="G49" s="172">
        <v>5214.93</v>
      </c>
      <c r="H49" s="171">
        <v>0</v>
      </c>
      <c r="I49" s="172">
        <f t="shared" si="6"/>
        <v>0</v>
      </c>
      <c r="J49" s="171">
        <v>1274.1099999999999</v>
      </c>
      <c r="K49" s="172">
        <f t="shared" si="7"/>
        <v>5214.5600000000004</v>
      </c>
      <c r="L49" s="172">
        <v>21</v>
      </c>
      <c r="M49" s="172">
        <f t="shared" si="8"/>
        <v>6310.0653000000002</v>
      </c>
      <c r="N49" s="173">
        <v>0</v>
      </c>
      <c r="O49" s="173">
        <f t="shared" si="9"/>
        <v>0</v>
      </c>
      <c r="P49" s="173">
        <v>0</v>
      </c>
      <c r="Q49" s="173">
        <f t="shared" si="10"/>
        <v>0</v>
      </c>
      <c r="R49" s="173"/>
      <c r="S49" s="173"/>
      <c r="T49" s="174">
        <v>3.0750000000000002</v>
      </c>
      <c r="U49" s="173">
        <f t="shared" si="11"/>
        <v>12.59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118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3">
      <c r="A50" s="166">
        <v>35</v>
      </c>
      <c r="B50" s="167" t="s">
        <v>189</v>
      </c>
      <c r="C50" s="168" t="s">
        <v>190</v>
      </c>
      <c r="D50" s="169" t="s">
        <v>168</v>
      </c>
      <c r="E50" s="170">
        <v>177.2</v>
      </c>
      <c r="F50" s="171">
        <v>24.87</v>
      </c>
      <c r="G50" s="172">
        <v>4406.96</v>
      </c>
      <c r="H50" s="171">
        <v>0</v>
      </c>
      <c r="I50" s="172">
        <f t="shared" si="6"/>
        <v>0</v>
      </c>
      <c r="J50" s="171">
        <v>24.87</v>
      </c>
      <c r="K50" s="172">
        <f t="shared" si="7"/>
        <v>4406.96</v>
      </c>
      <c r="L50" s="172">
        <v>21</v>
      </c>
      <c r="M50" s="172">
        <f t="shared" si="8"/>
        <v>5332.4215999999997</v>
      </c>
      <c r="N50" s="173">
        <v>0</v>
      </c>
      <c r="O50" s="173">
        <f t="shared" si="9"/>
        <v>0</v>
      </c>
      <c r="P50" s="173">
        <v>0</v>
      </c>
      <c r="Q50" s="173">
        <f t="shared" si="10"/>
        <v>0</v>
      </c>
      <c r="R50" s="173"/>
      <c r="S50" s="173"/>
      <c r="T50" s="174">
        <v>5.1999999999999998E-2</v>
      </c>
      <c r="U50" s="173">
        <f t="shared" si="11"/>
        <v>9.2100000000000009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118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ht="22.5" outlineLevel="1" x14ac:dyDescent="0.3">
      <c r="A51" s="166">
        <v>36</v>
      </c>
      <c r="B51" s="167" t="s">
        <v>191</v>
      </c>
      <c r="C51" s="168" t="s">
        <v>192</v>
      </c>
      <c r="D51" s="169" t="s">
        <v>168</v>
      </c>
      <c r="E51" s="170">
        <v>169.2</v>
      </c>
      <c r="F51" s="171">
        <v>39.25</v>
      </c>
      <c r="G51" s="172">
        <v>6641.1</v>
      </c>
      <c r="H51" s="171">
        <v>0</v>
      </c>
      <c r="I51" s="172">
        <f t="shared" si="6"/>
        <v>0</v>
      </c>
      <c r="J51" s="171">
        <v>39.25</v>
      </c>
      <c r="K51" s="172">
        <f t="shared" si="7"/>
        <v>6641.1</v>
      </c>
      <c r="L51" s="172">
        <v>21</v>
      </c>
      <c r="M51" s="172">
        <f t="shared" si="8"/>
        <v>8035.7309999999998</v>
      </c>
      <c r="N51" s="173">
        <v>0</v>
      </c>
      <c r="O51" s="173">
        <f t="shared" si="9"/>
        <v>0</v>
      </c>
      <c r="P51" s="173">
        <v>2.3800000000000002E-2</v>
      </c>
      <c r="Q51" s="173">
        <f t="shared" si="10"/>
        <v>4.0269599999999999</v>
      </c>
      <c r="R51" s="173"/>
      <c r="S51" s="173"/>
      <c r="T51" s="174">
        <v>8.2000000000000003E-2</v>
      </c>
      <c r="U51" s="173">
        <f t="shared" si="11"/>
        <v>13.87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118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ht="22.5" outlineLevel="1" x14ac:dyDescent="0.3">
      <c r="A52" s="166">
        <v>37</v>
      </c>
      <c r="B52" s="167" t="s">
        <v>193</v>
      </c>
      <c r="C52" s="168" t="s">
        <v>194</v>
      </c>
      <c r="D52" s="169" t="s">
        <v>117</v>
      </c>
      <c r="E52" s="170">
        <v>2</v>
      </c>
      <c r="F52" s="171">
        <v>189.98</v>
      </c>
      <c r="G52" s="172">
        <v>379.96</v>
      </c>
      <c r="H52" s="171">
        <v>0</v>
      </c>
      <c r="I52" s="172">
        <f t="shared" si="6"/>
        <v>0</v>
      </c>
      <c r="J52" s="171">
        <v>189.98</v>
      </c>
      <c r="K52" s="172">
        <f t="shared" si="7"/>
        <v>379.96</v>
      </c>
      <c r="L52" s="172">
        <v>21</v>
      </c>
      <c r="M52" s="172">
        <f t="shared" si="8"/>
        <v>459.75159999999994</v>
      </c>
      <c r="N52" s="173">
        <v>8.0000000000000007E-5</v>
      </c>
      <c r="O52" s="173">
        <f t="shared" si="9"/>
        <v>1.6000000000000001E-4</v>
      </c>
      <c r="P52" s="173">
        <v>4.675E-2</v>
      </c>
      <c r="Q52" s="173">
        <f t="shared" si="10"/>
        <v>9.35E-2</v>
      </c>
      <c r="R52" s="173"/>
      <c r="S52" s="173"/>
      <c r="T52" s="174">
        <v>0.36099999999999999</v>
      </c>
      <c r="U52" s="173">
        <f t="shared" si="11"/>
        <v>0.72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118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ht="22.5" outlineLevel="1" x14ac:dyDescent="0.3">
      <c r="A53" s="166">
        <v>38</v>
      </c>
      <c r="B53" s="167" t="s">
        <v>195</v>
      </c>
      <c r="C53" s="168" t="s">
        <v>196</v>
      </c>
      <c r="D53" s="169" t="s">
        <v>128</v>
      </c>
      <c r="E53" s="170">
        <v>4.1204599999999996</v>
      </c>
      <c r="F53" s="171">
        <v>1319.62</v>
      </c>
      <c r="G53" s="172">
        <v>5436.83</v>
      </c>
      <c r="H53" s="171">
        <v>0</v>
      </c>
      <c r="I53" s="172">
        <f t="shared" si="6"/>
        <v>0</v>
      </c>
      <c r="J53" s="171">
        <v>1319.62</v>
      </c>
      <c r="K53" s="172">
        <f t="shared" si="7"/>
        <v>5437.44</v>
      </c>
      <c r="L53" s="172">
        <v>21</v>
      </c>
      <c r="M53" s="172">
        <f t="shared" si="8"/>
        <v>6578.5643</v>
      </c>
      <c r="N53" s="173">
        <v>0</v>
      </c>
      <c r="O53" s="173">
        <f t="shared" si="9"/>
        <v>0</v>
      </c>
      <c r="P53" s="173">
        <v>0</v>
      </c>
      <c r="Q53" s="173">
        <f t="shared" si="10"/>
        <v>0</v>
      </c>
      <c r="R53" s="173"/>
      <c r="S53" s="173"/>
      <c r="T53" s="174">
        <v>3.0739999999999998</v>
      </c>
      <c r="U53" s="173">
        <f t="shared" si="11"/>
        <v>12.67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118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x14ac:dyDescent="0.3">
      <c r="A54" s="176" t="s">
        <v>113</v>
      </c>
      <c r="B54" s="177" t="s">
        <v>82</v>
      </c>
      <c r="C54" s="178" t="s">
        <v>83</v>
      </c>
      <c r="D54" s="179"/>
      <c r="E54" s="180"/>
      <c r="F54" s="181"/>
      <c r="G54" s="181">
        <f>SUMIF(AE55:AE57,"&lt;&gt;NOR",G55:G57)</f>
        <v>124638.56999999999</v>
      </c>
      <c r="H54" s="181"/>
      <c r="I54" s="181">
        <f>SUM(I55:I57)</f>
        <v>0</v>
      </c>
      <c r="J54" s="181"/>
      <c r="K54" s="181">
        <f>SUM(K55:K57)</f>
        <v>124638.56999999999</v>
      </c>
      <c r="L54" s="181"/>
      <c r="M54" s="181">
        <f>SUM(M55:M57)</f>
        <v>150812.66969999997</v>
      </c>
      <c r="N54" s="182"/>
      <c r="O54" s="182">
        <f>SUM(O55:O57)</f>
        <v>9.2289999999999997E-2</v>
      </c>
      <c r="P54" s="182"/>
      <c r="Q54" s="182">
        <f>SUM(Q55:Q57)</f>
        <v>0</v>
      </c>
      <c r="R54" s="182"/>
      <c r="S54" s="182"/>
      <c r="T54" s="183"/>
      <c r="U54" s="182">
        <f>SUM(U55:U57)</f>
        <v>52.61</v>
      </c>
      <c r="AE54" t="s">
        <v>114</v>
      </c>
    </row>
    <row r="55" spans="1:60" ht="22.5" outlineLevel="1" x14ac:dyDescent="0.3">
      <c r="A55" s="166">
        <v>39</v>
      </c>
      <c r="B55" s="167" t="s">
        <v>197</v>
      </c>
      <c r="C55" s="168" t="s">
        <v>198</v>
      </c>
      <c r="D55" s="169" t="s">
        <v>168</v>
      </c>
      <c r="E55" s="170">
        <v>169.2</v>
      </c>
      <c r="F55" s="171">
        <v>518.73</v>
      </c>
      <c r="G55" s="172">
        <v>87769.12</v>
      </c>
      <c r="H55" s="171">
        <v>0</v>
      </c>
      <c r="I55" s="172">
        <f>ROUND(E55*H55,2)</f>
        <v>0</v>
      </c>
      <c r="J55" s="171">
        <v>518.73</v>
      </c>
      <c r="K55" s="172">
        <f>ROUND(E55*J55,2)</f>
        <v>87769.12</v>
      </c>
      <c r="L55" s="172">
        <v>21</v>
      </c>
      <c r="M55" s="172">
        <f>G55*(1+L55/100)</f>
        <v>106200.63519999999</v>
      </c>
      <c r="N55" s="173">
        <v>4.8999999999999998E-4</v>
      </c>
      <c r="O55" s="173">
        <f>ROUND(E55*N55,5)</f>
        <v>8.2909999999999998E-2</v>
      </c>
      <c r="P55" s="173">
        <v>0</v>
      </c>
      <c r="Q55" s="173">
        <f>ROUND(E55*P55,5)</f>
        <v>0</v>
      </c>
      <c r="R55" s="173"/>
      <c r="S55" s="173"/>
      <c r="T55" s="174">
        <v>0.24299999999999999</v>
      </c>
      <c r="U55" s="173">
        <f>ROUND(E55*T55,2)</f>
        <v>41.12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118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ht="22.5" outlineLevel="1" x14ac:dyDescent="0.3">
      <c r="A56" s="166">
        <v>40</v>
      </c>
      <c r="B56" s="167" t="s">
        <v>199</v>
      </c>
      <c r="C56" s="168" t="s">
        <v>200</v>
      </c>
      <c r="D56" s="169" t="s">
        <v>123</v>
      </c>
      <c r="E56" s="170">
        <v>125</v>
      </c>
      <c r="F56" s="171">
        <v>278.70999999999998</v>
      </c>
      <c r="G56" s="172">
        <v>34838.75</v>
      </c>
      <c r="H56" s="171">
        <v>0</v>
      </c>
      <c r="I56" s="172">
        <f>ROUND(E56*H56,2)</f>
        <v>0</v>
      </c>
      <c r="J56" s="171">
        <v>278.70999999999998</v>
      </c>
      <c r="K56" s="172">
        <f>ROUND(E56*J56,2)</f>
        <v>34838.75</v>
      </c>
      <c r="L56" s="172">
        <v>21</v>
      </c>
      <c r="M56" s="172">
        <f>G56*(1+L56/100)</f>
        <v>42154.887499999997</v>
      </c>
      <c r="N56" s="173">
        <v>6.9999999999999994E-5</v>
      </c>
      <c r="O56" s="173">
        <f>ROUND(E56*N56,5)</f>
        <v>8.7500000000000008E-3</v>
      </c>
      <c r="P56" s="173">
        <v>0</v>
      </c>
      <c r="Q56" s="173">
        <f>ROUND(E56*P56,5)</f>
        <v>0</v>
      </c>
      <c r="R56" s="173"/>
      <c r="S56" s="173"/>
      <c r="T56" s="174">
        <v>8.6999999999999994E-2</v>
      </c>
      <c r="U56" s="173">
        <f>ROUND(E56*T56,2)</f>
        <v>10.88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118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22.5" outlineLevel="1" x14ac:dyDescent="0.3">
      <c r="A57" s="166">
        <v>41</v>
      </c>
      <c r="B57" s="167" t="s">
        <v>201</v>
      </c>
      <c r="C57" s="168" t="s">
        <v>202</v>
      </c>
      <c r="D57" s="169" t="s">
        <v>123</v>
      </c>
      <c r="E57" s="170">
        <v>21</v>
      </c>
      <c r="F57" s="171">
        <v>96.7</v>
      </c>
      <c r="G57" s="172">
        <v>2030.7</v>
      </c>
      <c r="H57" s="171">
        <v>0</v>
      </c>
      <c r="I57" s="172">
        <f>ROUND(E57*H57,2)</f>
        <v>0</v>
      </c>
      <c r="J57" s="171">
        <v>96.7</v>
      </c>
      <c r="K57" s="172">
        <f>ROUND(E57*J57,2)</f>
        <v>2030.7</v>
      </c>
      <c r="L57" s="172">
        <v>21</v>
      </c>
      <c r="M57" s="172">
        <f>G57*(1+L57/100)</f>
        <v>2457.1469999999999</v>
      </c>
      <c r="N57" s="173">
        <v>3.0000000000000001E-5</v>
      </c>
      <c r="O57" s="173">
        <f>ROUND(E57*N57,5)</f>
        <v>6.3000000000000003E-4</v>
      </c>
      <c r="P57" s="173">
        <v>0</v>
      </c>
      <c r="Q57" s="173">
        <f>ROUND(E57*P57,5)</f>
        <v>0</v>
      </c>
      <c r="R57" s="173"/>
      <c r="S57" s="173"/>
      <c r="T57" s="174">
        <v>2.9000000000000001E-2</v>
      </c>
      <c r="U57" s="173">
        <f>ROUND(E57*T57,2)</f>
        <v>0.61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118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x14ac:dyDescent="0.3">
      <c r="A58" s="176" t="s">
        <v>113</v>
      </c>
      <c r="B58" s="177" t="s">
        <v>35</v>
      </c>
      <c r="C58" s="178" t="s">
        <v>36</v>
      </c>
      <c r="D58" s="179"/>
      <c r="E58" s="180"/>
      <c r="F58" s="181"/>
      <c r="G58" s="181">
        <f>SUMIF(AE59,"&lt;&gt;NOR",G59)</f>
        <v>9100.7999999999993</v>
      </c>
      <c r="H58" s="181"/>
      <c r="I58" s="181">
        <f>SUM(I59)</f>
        <v>0</v>
      </c>
      <c r="J58" s="181"/>
      <c r="K58" s="181">
        <f>SUM(K59)</f>
        <v>9100.7999999999993</v>
      </c>
      <c r="L58" s="181"/>
      <c r="M58" s="181">
        <f>SUM(M59)</f>
        <v>11011.967999999999</v>
      </c>
      <c r="N58" s="182"/>
      <c r="O58" s="182">
        <f>SUM(O59)</f>
        <v>0</v>
      </c>
      <c r="P58" s="182"/>
      <c r="Q58" s="182">
        <f>SUM(Q59)</f>
        <v>0</v>
      </c>
      <c r="R58" s="182"/>
      <c r="S58" s="182"/>
      <c r="T58" s="183"/>
      <c r="U58" s="182">
        <f>SUM(U59)</f>
        <v>0</v>
      </c>
      <c r="AE58" t="s">
        <v>114</v>
      </c>
    </row>
    <row r="59" spans="1:60" outlineLevel="1" x14ac:dyDescent="0.3">
      <c r="A59" s="184">
        <v>42</v>
      </c>
      <c r="B59" s="185" t="s">
        <v>203</v>
      </c>
      <c r="C59" s="186" t="s">
        <v>204</v>
      </c>
      <c r="D59" s="187" t="s">
        <v>23</v>
      </c>
      <c r="E59" s="188">
        <v>1</v>
      </c>
      <c r="F59" s="189">
        <v>9100.7999999999993</v>
      </c>
      <c r="G59" s="190">
        <v>9100.7999999999993</v>
      </c>
      <c r="H59" s="189">
        <v>0</v>
      </c>
      <c r="I59" s="190">
        <f>ROUND(E59*H59,2)</f>
        <v>0</v>
      </c>
      <c r="J59" s="189">
        <v>9100.7999999999993</v>
      </c>
      <c r="K59" s="190">
        <f>ROUND(E59*J59,2)</f>
        <v>9100.7999999999993</v>
      </c>
      <c r="L59" s="190">
        <v>21</v>
      </c>
      <c r="M59" s="190">
        <f>G59*(1+L59/100)</f>
        <v>11011.967999999999</v>
      </c>
      <c r="N59" s="191">
        <v>0</v>
      </c>
      <c r="O59" s="191">
        <f>ROUND(E59*N59,5)</f>
        <v>0</v>
      </c>
      <c r="P59" s="191">
        <v>0</v>
      </c>
      <c r="Q59" s="191">
        <f>ROUND(E59*P59,5)</f>
        <v>0</v>
      </c>
      <c r="R59" s="191"/>
      <c r="S59" s="191"/>
      <c r="T59" s="192">
        <v>0</v>
      </c>
      <c r="U59" s="191">
        <f>ROUND(E59*T59,2)</f>
        <v>0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118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x14ac:dyDescent="0.3">
      <c r="A60" s="136"/>
      <c r="B60" s="140" t="s">
        <v>205</v>
      </c>
      <c r="C60" s="193" t="s">
        <v>205</v>
      </c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AC60">
        <v>15</v>
      </c>
      <c r="AD60">
        <v>21</v>
      </c>
    </row>
    <row r="61" spans="1:60" x14ac:dyDescent="0.3">
      <c r="A61" s="194"/>
      <c r="B61" s="195">
        <v>26</v>
      </c>
      <c r="C61" s="196" t="s">
        <v>205</v>
      </c>
      <c r="D61" s="197"/>
      <c r="E61" s="197"/>
      <c r="F61" s="197"/>
      <c r="G61" s="198">
        <f>G8+G10+G12+G17+G19+G23+G27+G38+G54+G58</f>
        <v>223565.05</v>
      </c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AC61">
        <f>SUMIF(L7:L59,AC60,G7:G59)</f>
        <v>0</v>
      </c>
      <c r="AD61">
        <f>SUMIF(L7:L59,AD60,G7:G59)</f>
        <v>223565.05000000005</v>
      </c>
      <c r="AE61" t="s">
        <v>206</v>
      </c>
    </row>
    <row r="62" spans="1:60" x14ac:dyDescent="0.3">
      <c r="A62" s="136"/>
      <c r="B62" s="140" t="s">
        <v>205</v>
      </c>
      <c r="C62" s="193" t="s">
        <v>205</v>
      </c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</row>
    <row r="63" spans="1:60" x14ac:dyDescent="0.3">
      <c r="A63" s="136"/>
      <c r="B63" s="140" t="s">
        <v>205</v>
      </c>
      <c r="C63" s="193" t="s">
        <v>205</v>
      </c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</row>
    <row r="64" spans="1:60" x14ac:dyDescent="0.3">
      <c r="A64" s="260">
        <v>33</v>
      </c>
      <c r="B64" s="260"/>
      <c r="C64" s="261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</row>
    <row r="65" spans="1:31" x14ac:dyDescent="0.3">
      <c r="A65" s="262"/>
      <c r="B65" s="263"/>
      <c r="C65" s="264"/>
      <c r="D65" s="263"/>
      <c r="E65" s="263"/>
      <c r="F65" s="263"/>
      <c r="G65" s="265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AE65" t="s">
        <v>207</v>
      </c>
    </row>
    <row r="66" spans="1:31" x14ac:dyDescent="0.3">
      <c r="A66" s="266"/>
      <c r="B66" s="267"/>
      <c r="C66" s="268"/>
      <c r="D66" s="267"/>
      <c r="E66" s="267"/>
      <c r="F66" s="267"/>
      <c r="G66" s="269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</row>
    <row r="67" spans="1:31" x14ac:dyDescent="0.3">
      <c r="A67" s="266"/>
      <c r="B67" s="267"/>
      <c r="C67" s="268"/>
      <c r="D67" s="267"/>
      <c r="E67" s="267"/>
      <c r="F67" s="267"/>
      <c r="G67" s="269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</row>
    <row r="68" spans="1:31" x14ac:dyDescent="0.3">
      <c r="A68" s="266"/>
      <c r="B68" s="267"/>
      <c r="C68" s="268"/>
      <c r="D68" s="267"/>
      <c r="E68" s="267"/>
      <c r="F68" s="267"/>
      <c r="G68" s="269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</row>
    <row r="69" spans="1:31" x14ac:dyDescent="0.3">
      <c r="A69" s="270"/>
      <c r="B69" s="271"/>
      <c r="C69" s="272"/>
      <c r="D69" s="271"/>
      <c r="E69" s="271"/>
      <c r="F69" s="271"/>
      <c r="G69" s="273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</row>
    <row r="70" spans="1:31" x14ac:dyDescent="0.3">
      <c r="A70" s="136"/>
      <c r="B70" s="140" t="s">
        <v>205</v>
      </c>
      <c r="C70" s="193" t="s">
        <v>205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</row>
    <row r="71" spans="1:31" x14ac:dyDescent="0.3">
      <c r="C71" s="199"/>
      <c r="AE71" t="s">
        <v>208</v>
      </c>
    </row>
  </sheetData>
  <mergeCells count="6">
    <mergeCell ref="A65:G69"/>
    <mergeCell ref="A1:G1"/>
    <mergeCell ref="C2:G2"/>
    <mergeCell ref="C3:G3"/>
    <mergeCell ref="C4:G4"/>
    <mergeCell ref="A64:C64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2021-04-01T13:11:51Z</dcterms:modified>
</cp:coreProperties>
</file>